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Alsónyék\Testületi\2025\03.12\KÉSZ! 18.sz.et. költségvetés II. forduló\"/>
    </mc:Choice>
  </mc:AlternateContent>
  <xr:revisionPtr revIDLastSave="0" documentId="13_ncr:1_{02425899-D6BF-421A-A879-AF1B315E009B}" xr6:coauthVersionLast="47" xr6:coauthVersionMax="47" xr10:uidLastSave="{00000000-0000-0000-0000-000000000000}"/>
  <bookViews>
    <workbookView xWindow="-108" yWindow="-108" windowWidth="23256" windowHeight="12456" tabRatio="841" firstSheet="10" activeTab="13" xr2:uid="{00000000-000D-0000-FFFF-FFFF00000000}"/>
  </bookViews>
  <sheets>
    <sheet name="TARTALOMJEGYZÉK" sheetId="134" r:id="rId1"/>
    <sheet name="ALAPADATOK" sheetId="94" r:id="rId2"/>
    <sheet name="KV_ÖSSZEFÜGGÉSEK" sheetId="75" r:id="rId3"/>
    <sheet name="KV_1.1.sz.mell." sheetId="1" r:id="rId4"/>
    <sheet name="KV_1.2.sz.mell." sheetId="130" r:id="rId5"/>
    <sheet name="KV_1.3.sz.mell." sheetId="131" r:id="rId6"/>
    <sheet name="KV_1.4.sz.mell." sheetId="132" r:id="rId7"/>
    <sheet name="KV_2.1.sz.mell." sheetId="73" r:id="rId8"/>
    <sheet name="KV_2.2.sz.mell." sheetId="61" r:id="rId9"/>
    <sheet name="KV_ELLENŐRZÉS" sheetId="76" r:id="rId10"/>
    <sheet name="KV_3.sz.mell." sheetId="62" r:id="rId11"/>
    <sheet name="KV_4.sz.mell." sheetId="77" r:id="rId12"/>
    <sheet name="KV_5.sz.mell." sheetId="78" r:id="rId13"/>
    <sheet name="KV_6.sz.mell." sheetId="63" r:id="rId14"/>
    <sheet name="KV_7.sz.mell." sheetId="64" r:id="rId15"/>
    <sheet name="KV_8.sz.mell." sheetId="497" r:id="rId16"/>
    <sheet name="KV_9.sz.mell" sheetId="89" r:id="rId17"/>
    <sheet name="KV_10.sz.mell" sheetId="2" r:id="rId18"/>
    <sheet name="KV_11.sz.mell" sheetId="70" r:id="rId19"/>
    <sheet name="KV_12.sz.mell" sheetId="87" r:id="rId20"/>
    <sheet name="KV_13.sz.mell" sheetId="66" r:id="rId21"/>
    <sheet name="KV_14.sz.mell" sheetId="88" r:id="rId22"/>
    <sheet name="KV_15.sz.mell" sheetId="24" r:id="rId23"/>
    <sheet name="KV_16.sz.mell" sheetId="128" r:id="rId24"/>
    <sheet name="KV_17.sz.mell" sheetId="429" r:id="rId25"/>
    <sheet name="KV_18.sz.mell" sheetId="499" r:id="rId26"/>
    <sheet name="KV_19.sz.mell" sheetId="500" r:id="rId27"/>
  </sheets>
  <externalReferences>
    <externalReference r:id="rId28"/>
  </externalReferences>
  <definedNames>
    <definedName name="_xlnm.Print_Area" localSheetId="3">'KV_1.1.sz.mell.'!$A$1:$C$165</definedName>
    <definedName name="_xlnm.Print_Area" localSheetId="4">'KV_1.2.sz.mell.'!$A$1:$C$165</definedName>
    <definedName name="_xlnm.Print_Area" localSheetId="5">'KV_1.3.sz.mell.'!$A$1:$C$165</definedName>
    <definedName name="_xlnm.Print_Area" localSheetId="6">'KV_1.4.sz.mell.'!$A$1:$C$165</definedName>
    <definedName name="_xlnm.Print_Area" localSheetId="19">'KV_12.sz.mell'!$A$1:$E$158</definedName>
    <definedName name="_xlnm.Print_Area" localSheetId="23">'KV_16.sz.mell'!$A$1:$E$40</definedName>
    <definedName name="RM_6.3.sz.mell__A_2">TARTALOMJEGYZÉK!#REF!</definedName>
    <definedName name="RM_6.4.sz.mell__A_1">TARTALOMJEGYZÉK!#REF!</definedName>
    <definedName name="RM_6.4.sz.mell__A_2">TARTALOMJEGYZÉK!#REF!</definedName>
  </definedNames>
  <calcPr calcId="191029"/>
</workbook>
</file>

<file path=xl/calcChain.xml><?xml version="1.0" encoding="utf-8"?>
<calcChain xmlns="http://schemas.openxmlformats.org/spreadsheetml/2006/main">
  <c r="E160" i="1" l="1"/>
  <c r="F102" i="1"/>
  <c r="E30" i="1"/>
  <c r="F23" i="1"/>
  <c r="G106" i="1"/>
  <c r="E9" i="70"/>
  <c r="F29" i="429"/>
  <c r="C25" i="2"/>
  <c r="D36" i="128"/>
  <c r="D38" i="128" s="1"/>
  <c r="E32" i="128"/>
  <c r="E36" i="128" s="1"/>
  <c r="E38" i="128" s="1"/>
  <c r="D32" i="128"/>
  <c r="C32" i="128"/>
  <c r="C36" i="128" s="1"/>
  <c r="C38" i="128" s="1"/>
  <c r="B18" i="128"/>
  <c r="B17" i="128"/>
  <c r="B16" i="128"/>
  <c r="B15" i="128"/>
  <c r="B14" i="128"/>
  <c r="B13" i="128"/>
  <c r="B12" i="128"/>
  <c r="E11" i="128"/>
  <c r="E23" i="128" s="1"/>
  <c r="E25" i="128" s="1"/>
  <c r="E39" i="128" s="1"/>
  <c r="D11" i="128"/>
  <c r="D23" i="128"/>
  <c r="D25" i="128" s="1"/>
  <c r="C11" i="128"/>
  <c r="C23" i="128"/>
  <c r="C25" i="128" s="1"/>
  <c r="E7" i="128"/>
  <c r="E29" i="128" s="1"/>
  <c r="D7" i="128"/>
  <c r="D29" i="128" s="1"/>
  <c r="C7" i="128"/>
  <c r="C29" i="128" s="1"/>
  <c r="E6" i="128"/>
  <c r="E28" i="128" s="1"/>
  <c r="A4" i="128"/>
  <c r="A3" i="128"/>
  <c r="D123" i="87"/>
  <c r="D102" i="87"/>
  <c r="D97" i="87" s="1"/>
  <c r="D15" i="500"/>
  <c r="D8" i="500"/>
  <c r="E15" i="499"/>
  <c r="D15" i="499"/>
  <c r="C15" i="499"/>
  <c r="E11" i="499"/>
  <c r="E16" i="499" s="1"/>
  <c r="E17" i="499" s="1"/>
  <c r="D11" i="499"/>
  <c r="C11" i="499"/>
  <c r="C36" i="429"/>
  <c r="C34" i="429"/>
  <c r="C28" i="429"/>
  <c r="C27" i="429" s="1"/>
  <c r="C21" i="429"/>
  <c r="C19" i="429"/>
  <c r="C14" i="429"/>
  <c r="C11" i="429"/>
  <c r="C9" i="429"/>
  <c r="C7" i="429"/>
  <c r="C6" i="429" s="1"/>
  <c r="D17" i="70"/>
  <c r="D6" i="70"/>
  <c r="D16" i="499"/>
  <c r="D17" i="499" s="1"/>
  <c r="C104" i="131"/>
  <c r="E115" i="87"/>
  <c r="E102" i="87" s="1"/>
  <c r="E97" i="87" s="1"/>
  <c r="E132" i="87" s="1"/>
  <c r="E83" i="87"/>
  <c r="E79" i="87"/>
  <c r="E76" i="87"/>
  <c r="E71" i="87"/>
  <c r="E67" i="87"/>
  <c r="E61" i="87"/>
  <c r="E56" i="87"/>
  <c r="E50" i="87"/>
  <c r="E38" i="87"/>
  <c r="E30" i="87"/>
  <c r="E23" i="87"/>
  <c r="E17" i="87"/>
  <c r="E8" i="87" s="1"/>
  <c r="C149" i="87"/>
  <c r="C144" i="87"/>
  <c r="C137" i="87"/>
  <c r="C133" i="87"/>
  <c r="C123" i="87"/>
  <c r="C118" i="87"/>
  <c r="C102" i="87"/>
  <c r="C97" i="87"/>
  <c r="C132" i="87" s="1"/>
  <c r="C83" i="87"/>
  <c r="C79" i="87"/>
  <c r="C76" i="87"/>
  <c r="C71" i="87"/>
  <c r="C67" i="87"/>
  <c r="C61" i="87"/>
  <c r="C56" i="87"/>
  <c r="C50" i="87"/>
  <c r="C38" i="87"/>
  <c r="C30" i="87"/>
  <c r="C23" i="87"/>
  <c r="C17" i="87"/>
  <c r="C8" i="87"/>
  <c r="C21" i="2"/>
  <c r="C17" i="2"/>
  <c r="C13" i="2"/>
  <c r="C117" i="1"/>
  <c r="C104" i="1" s="1"/>
  <c r="C99" i="1" s="1"/>
  <c r="C134" i="1" s="1"/>
  <c r="C85" i="1"/>
  <c r="C81" i="1"/>
  <c r="C78" i="1"/>
  <c r="C73" i="1"/>
  <c r="C69" i="1"/>
  <c r="C92" i="1" s="1"/>
  <c r="C63" i="1"/>
  <c r="C58" i="1"/>
  <c r="C52" i="1"/>
  <c r="C40" i="1"/>
  <c r="C32" i="1"/>
  <c r="C25" i="1"/>
  <c r="C19" i="1"/>
  <c r="C10" i="1"/>
  <c r="C117" i="130"/>
  <c r="C104" i="130" s="1"/>
  <c r="C99" i="130" s="1"/>
  <c r="B44" i="134"/>
  <c r="B43" i="134"/>
  <c r="B40" i="134"/>
  <c r="B39" i="134"/>
  <c r="B38" i="134"/>
  <c r="B45" i="134"/>
  <c r="B25" i="497"/>
  <c r="C15" i="497"/>
  <c r="E15" i="497"/>
  <c r="D15" i="497"/>
  <c r="C25" i="130"/>
  <c r="C19" i="130"/>
  <c r="C10" i="130" s="1"/>
  <c r="D61" i="87"/>
  <c r="D50" i="87"/>
  <c r="D38" i="87"/>
  <c r="D30" i="87"/>
  <c r="D23" i="87"/>
  <c r="D17" i="87"/>
  <c r="D8" i="87"/>
  <c r="F8" i="64"/>
  <c r="F8" i="63"/>
  <c r="E30" i="61"/>
  <c r="D14" i="76" s="1"/>
  <c r="E14" i="76" s="1"/>
  <c r="E17" i="61"/>
  <c r="E31" i="61" s="1"/>
  <c r="C24" i="61"/>
  <c r="C18" i="61"/>
  <c r="C17" i="61"/>
  <c r="C19" i="73"/>
  <c r="C18" i="73"/>
  <c r="E29" i="73"/>
  <c r="E18" i="73"/>
  <c r="B158" i="87"/>
  <c r="A158" i="87"/>
  <c r="B157" i="87"/>
  <c r="A157" i="87"/>
  <c r="B156" i="87"/>
  <c r="A156" i="87"/>
  <c r="B155" i="87"/>
  <c r="A155" i="87"/>
  <c r="B154" i="87"/>
  <c r="A154" i="87"/>
  <c r="B153" i="87"/>
  <c r="A153" i="87"/>
  <c r="B152" i="87"/>
  <c r="A152" i="87"/>
  <c r="B151" i="87"/>
  <c r="A151" i="87"/>
  <c r="B150" i="87"/>
  <c r="A150" i="87"/>
  <c r="B149" i="87"/>
  <c r="A149" i="87"/>
  <c r="B148" i="87"/>
  <c r="A148" i="87"/>
  <c r="B147" i="87"/>
  <c r="A147" i="87"/>
  <c r="B146" i="87"/>
  <c r="A146" i="87"/>
  <c r="B145" i="87"/>
  <c r="A145" i="87"/>
  <c r="B144" i="87"/>
  <c r="A144" i="87"/>
  <c r="B143" i="87"/>
  <c r="A143" i="87"/>
  <c r="B142" i="87"/>
  <c r="A142" i="87"/>
  <c r="B141" i="87"/>
  <c r="A141" i="87"/>
  <c r="B140" i="87"/>
  <c r="A140" i="87"/>
  <c r="B139" i="87"/>
  <c r="A139" i="87"/>
  <c r="B138" i="87"/>
  <c r="A138" i="87"/>
  <c r="B137" i="87"/>
  <c r="A137" i="87"/>
  <c r="B136" i="87"/>
  <c r="A136" i="87"/>
  <c r="B135" i="87"/>
  <c r="A135" i="87"/>
  <c r="B134" i="87"/>
  <c r="A134" i="87"/>
  <c r="B133" i="87"/>
  <c r="A133" i="87"/>
  <c r="B132" i="87"/>
  <c r="A132" i="87"/>
  <c r="B131" i="87"/>
  <c r="A131" i="87"/>
  <c r="B130" i="87"/>
  <c r="A130" i="87"/>
  <c r="B129" i="87"/>
  <c r="A129" i="87"/>
  <c r="B128" i="87"/>
  <c r="A128" i="87"/>
  <c r="B127" i="87"/>
  <c r="A127" i="87"/>
  <c r="B126" i="87"/>
  <c r="A126" i="87"/>
  <c r="B125" i="87"/>
  <c r="A125" i="87"/>
  <c r="B124" i="87"/>
  <c r="A124" i="87"/>
  <c r="B123" i="87"/>
  <c r="A123" i="87"/>
  <c r="B122" i="87"/>
  <c r="A122" i="87"/>
  <c r="B121" i="87"/>
  <c r="A121" i="87"/>
  <c r="B120" i="87"/>
  <c r="A120" i="87"/>
  <c r="B119" i="87"/>
  <c r="A119" i="87"/>
  <c r="B118" i="87"/>
  <c r="A118" i="87"/>
  <c r="B117" i="87"/>
  <c r="A117" i="87"/>
  <c r="B116" i="87"/>
  <c r="A116" i="87"/>
  <c r="B115" i="87"/>
  <c r="A115" i="87"/>
  <c r="B114" i="87"/>
  <c r="A114" i="87"/>
  <c r="B113" i="87"/>
  <c r="A113" i="87"/>
  <c r="B112" i="87"/>
  <c r="A112" i="87"/>
  <c r="B111" i="87"/>
  <c r="A111" i="87"/>
  <c r="B110" i="87"/>
  <c r="A110" i="87"/>
  <c r="B109" i="87"/>
  <c r="A109" i="87"/>
  <c r="B108" i="87"/>
  <c r="A108" i="87"/>
  <c r="B107" i="87"/>
  <c r="A107" i="87"/>
  <c r="B106" i="87"/>
  <c r="A106" i="87"/>
  <c r="B105" i="87"/>
  <c r="A105" i="87"/>
  <c r="B104" i="87"/>
  <c r="A104" i="87"/>
  <c r="B103" i="87"/>
  <c r="A103" i="87"/>
  <c r="B102" i="87"/>
  <c r="A102" i="87"/>
  <c r="B101" i="87"/>
  <c r="A101" i="87"/>
  <c r="B100" i="87"/>
  <c r="A100" i="87"/>
  <c r="B99" i="87"/>
  <c r="A99" i="87"/>
  <c r="B98" i="87"/>
  <c r="A98" i="87"/>
  <c r="B97" i="87"/>
  <c r="A97" i="87"/>
  <c r="B91" i="87"/>
  <c r="A91" i="87"/>
  <c r="B90" i="87"/>
  <c r="A90" i="87"/>
  <c r="B89" i="87"/>
  <c r="A89" i="87"/>
  <c r="B88" i="87"/>
  <c r="A88" i="87"/>
  <c r="B87" i="87"/>
  <c r="A87" i="87"/>
  <c r="B86" i="87"/>
  <c r="A86" i="87"/>
  <c r="B85" i="87"/>
  <c r="A85" i="87"/>
  <c r="B84" i="87"/>
  <c r="A84" i="87"/>
  <c r="B83" i="87"/>
  <c r="A83" i="87"/>
  <c r="B82" i="87"/>
  <c r="A82" i="87"/>
  <c r="B81" i="87"/>
  <c r="A81" i="87"/>
  <c r="B80" i="87"/>
  <c r="A80" i="87"/>
  <c r="B79" i="87"/>
  <c r="A79" i="87"/>
  <c r="B78" i="87"/>
  <c r="A78" i="87"/>
  <c r="B77" i="87"/>
  <c r="A77" i="87"/>
  <c r="B76" i="87"/>
  <c r="A76" i="87"/>
  <c r="B75" i="87"/>
  <c r="A75" i="87"/>
  <c r="B74" i="87"/>
  <c r="A74" i="87"/>
  <c r="B73" i="87"/>
  <c r="A73" i="87"/>
  <c r="B72" i="87"/>
  <c r="A72" i="87"/>
  <c r="B71" i="87"/>
  <c r="A71" i="87"/>
  <c r="B70" i="87"/>
  <c r="A70" i="87"/>
  <c r="B69" i="87"/>
  <c r="A69" i="87"/>
  <c r="B68" i="87"/>
  <c r="A68" i="87"/>
  <c r="B67" i="87"/>
  <c r="A67" i="87"/>
  <c r="B66" i="87"/>
  <c r="A66" i="87"/>
  <c r="B65" i="87"/>
  <c r="A65" i="87"/>
  <c r="B64" i="87"/>
  <c r="A64" i="87"/>
  <c r="B63" i="87"/>
  <c r="A63" i="87"/>
  <c r="B62" i="87"/>
  <c r="A62" i="87"/>
  <c r="B61" i="87"/>
  <c r="A61" i="87"/>
  <c r="B60" i="87"/>
  <c r="A60" i="87"/>
  <c r="B59" i="87"/>
  <c r="A59" i="87"/>
  <c r="B58" i="87"/>
  <c r="A58" i="87"/>
  <c r="B57" i="87"/>
  <c r="A57" i="87"/>
  <c r="B56" i="87"/>
  <c r="A56" i="87"/>
  <c r="B55" i="87"/>
  <c r="A55" i="87"/>
  <c r="B54" i="87"/>
  <c r="A54" i="87"/>
  <c r="B53" i="87"/>
  <c r="A53" i="87"/>
  <c r="B52" i="87"/>
  <c r="A52" i="87"/>
  <c r="B51" i="87"/>
  <c r="A51" i="87"/>
  <c r="B50" i="87"/>
  <c r="A50" i="87"/>
  <c r="B49" i="87"/>
  <c r="A49" i="87"/>
  <c r="B48" i="87"/>
  <c r="A48" i="87"/>
  <c r="B47" i="87"/>
  <c r="A47" i="87"/>
  <c r="B46" i="87"/>
  <c r="A46" i="87"/>
  <c r="B45" i="87"/>
  <c r="A45" i="87"/>
  <c r="B44" i="87"/>
  <c r="A44" i="87"/>
  <c r="B43" i="87"/>
  <c r="A43" i="87"/>
  <c r="B42" i="87"/>
  <c r="A42" i="87"/>
  <c r="B41" i="87"/>
  <c r="A41" i="87"/>
  <c r="B40" i="87"/>
  <c r="A40" i="87"/>
  <c r="B39" i="87"/>
  <c r="A39" i="87"/>
  <c r="B38" i="87"/>
  <c r="A38" i="87"/>
  <c r="B37" i="87"/>
  <c r="A37" i="87"/>
  <c r="B36" i="87"/>
  <c r="A36" i="87"/>
  <c r="B35" i="87"/>
  <c r="A35" i="87"/>
  <c r="B34" i="87"/>
  <c r="A34" i="87"/>
  <c r="B33" i="87"/>
  <c r="A33" i="87"/>
  <c r="B32" i="87"/>
  <c r="A32" i="87"/>
  <c r="B31" i="87"/>
  <c r="A31" i="87"/>
  <c r="B30" i="87"/>
  <c r="A30" i="87"/>
  <c r="B29" i="87"/>
  <c r="A29" i="87"/>
  <c r="B28" i="87"/>
  <c r="A28" i="87"/>
  <c r="B27" i="87"/>
  <c r="A27" i="87"/>
  <c r="B26" i="87"/>
  <c r="A26" i="87"/>
  <c r="B25" i="87"/>
  <c r="A25" i="87"/>
  <c r="B24" i="87"/>
  <c r="A24" i="87"/>
  <c r="B23" i="87"/>
  <c r="A23" i="87"/>
  <c r="B22" i="87"/>
  <c r="A22" i="87"/>
  <c r="B21" i="87"/>
  <c r="A21" i="87"/>
  <c r="B20" i="87"/>
  <c r="A20" i="87"/>
  <c r="B19" i="87"/>
  <c r="A19" i="87"/>
  <c r="B18" i="87"/>
  <c r="A18" i="87"/>
  <c r="B17" i="87"/>
  <c r="A17" i="87"/>
  <c r="B16" i="87"/>
  <c r="A16" i="87"/>
  <c r="B15" i="87"/>
  <c r="A15" i="87"/>
  <c r="B14" i="87"/>
  <c r="A14" i="87"/>
  <c r="B13" i="87"/>
  <c r="A13" i="87"/>
  <c r="B12" i="87"/>
  <c r="A12" i="87"/>
  <c r="B11" i="87"/>
  <c r="A11" i="87"/>
  <c r="B10" i="87"/>
  <c r="A10" i="87"/>
  <c r="B9" i="87"/>
  <c r="A9" i="87"/>
  <c r="A8" i="87"/>
  <c r="B8" i="87"/>
  <c r="B8" i="130"/>
  <c r="A165" i="131"/>
  <c r="A164" i="131"/>
  <c r="A165" i="132"/>
  <c r="A164" i="132"/>
  <c r="A165" i="130"/>
  <c r="A164" i="130"/>
  <c r="A160" i="131"/>
  <c r="A159" i="131"/>
  <c r="A158" i="131"/>
  <c r="A157" i="131"/>
  <c r="A156" i="131"/>
  <c r="A155" i="131"/>
  <c r="A154" i="131"/>
  <c r="A153" i="131"/>
  <c r="A152" i="131"/>
  <c r="A151" i="131"/>
  <c r="A150" i="131"/>
  <c r="A149" i="131"/>
  <c r="A148" i="131"/>
  <c r="A147" i="131"/>
  <c r="A146" i="131"/>
  <c r="A145" i="131"/>
  <c r="A144" i="131"/>
  <c r="A143" i="131"/>
  <c r="A142" i="131"/>
  <c r="A141" i="131"/>
  <c r="A140" i="131"/>
  <c r="A139" i="131"/>
  <c r="A138" i="131"/>
  <c r="A137" i="131"/>
  <c r="A136" i="131"/>
  <c r="A135" i="131"/>
  <c r="A134" i="131"/>
  <c r="A133" i="131"/>
  <c r="A132" i="131"/>
  <c r="A131" i="131"/>
  <c r="A130" i="131"/>
  <c r="A129" i="131"/>
  <c r="A128" i="131"/>
  <c r="A127" i="131"/>
  <c r="A126" i="131"/>
  <c r="A125" i="131"/>
  <c r="A124" i="131"/>
  <c r="A123" i="131"/>
  <c r="A122" i="131"/>
  <c r="A121" i="131"/>
  <c r="A120" i="131"/>
  <c r="A119" i="131"/>
  <c r="A118" i="131"/>
  <c r="A117" i="131"/>
  <c r="A116" i="131"/>
  <c r="A115" i="131"/>
  <c r="A114" i="131"/>
  <c r="A113" i="131"/>
  <c r="A112" i="131"/>
  <c r="A111" i="131"/>
  <c r="A110" i="131"/>
  <c r="A109" i="131"/>
  <c r="A108" i="131"/>
  <c r="A107" i="131"/>
  <c r="A106" i="131"/>
  <c r="A105" i="131"/>
  <c r="A104" i="131"/>
  <c r="A103" i="131"/>
  <c r="A102" i="131"/>
  <c r="A101" i="131"/>
  <c r="A100" i="131"/>
  <c r="A99" i="131"/>
  <c r="A160" i="132"/>
  <c r="A159" i="132"/>
  <c r="A158" i="132"/>
  <c r="A157" i="132"/>
  <c r="A156" i="132"/>
  <c r="A155" i="132"/>
  <c r="A154" i="132"/>
  <c r="A153" i="132"/>
  <c r="A152" i="132"/>
  <c r="A151" i="132"/>
  <c r="A150" i="132"/>
  <c r="A149" i="132"/>
  <c r="A148" i="132"/>
  <c r="A147" i="132"/>
  <c r="A146" i="132"/>
  <c r="A145" i="132"/>
  <c r="A144" i="132"/>
  <c r="A143" i="132"/>
  <c r="A142" i="132"/>
  <c r="A141" i="132"/>
  <c r="A140" i="132"/>
  <c r="A139" i="132"/>
  <c r="A138" i="132"/>
  <c r="A137" i="132"/>
  <c r="A136" i="132"/>
  <c r="A135" i="132"/>
  <c r="A134" i="132"/>
  <c r="A133" i="132"/>
  <c r="A132" i="132"/>
  <c r="A131" i="132"/>
  <c r="A130" i="132"/>
  <c r="A129" i="132"/>
  <c r="A128" i="132"/>
  <c r="A127" i="132"/>
  <c r="A126" i="132"/>
  <c r="A125" i="132"/>
  <c r="A124" i="132"/>
  <c r="A123" i="132"/>
  <c r="A122" i="132"/>
  <c r="A121" i="132"/>
  <c r="A120" i="132"/>
  <c r="A119" i="132"/>
  <c r="A118" i="132"/>
  <c r="A117" i="132"/>
  <c r="A116" i="132"/>
  <c r="A115" i="132"/>
  <c r="A114" i="132"/>
  <c r="A113" i="132"/>
  <c r="A112" i="132"/>
  <c r="A111" i="132"/>
  <c r="A110" i="132"/>
  <c r="A109" i="132"/>
  <c r="A108" i="132"/>
  <c r="A107" i="132"/>
  <c r="A106" i="132"/>
  <c r="A105" i="132"/>
  <c r="A104" i="132"/>
  <c r="A103" i="132"/>
  <c r="A102" i="132"/>
  <c r="A101" i="132"/>
  <c r="A100" i="132"/>
  <c r="A99" i="132"/>
  <c r="A160" i="130"/>
  <c r="A159" i="130"/>
  <c r="A158" i="130"/>
  <c r="A157" i="130"/>
  <c r="A156" i="130"/>
  <c r="A155" i="130"/>
  <c r="A154" i="130"/>
  <c r="A153" i="130"/>
  <c r="A152" i="130"/>
  <c r="A151" i="130"/>
  <c r="A150" i="130"/>
  <c r="A149" i="130"/>
  <c r="A148" i="130"/>
  <c r="A147" i="130"/>
  <c r="A146" i="130"/>
  <c r="A145" i="130"/>
  <c r="A144" i="130"/>
  <c r="A143" i="130"/>
  <c r="A142" i="130"/>
  <c r="A141" i="130"/>
  <c r="A140" i="130"/>
  <c r="A139" i="130"/>
  <c r="A138" i="130"/>
  <c r="A137" i="130"/>
  <c r="A136" i="130"/>
  <c r="A135" i="130"/>
  <c r="A134" i="130"/>
  <c r="A133" i="130"/>
  <c r="A132" i="130"/>
  <c r="A131" i="130"/>
  <c r="A130" i="130"/>
  <c r="A129" i="130"/>
  <c r="A128" i="130"/>
  <c r="A127" i="130"/>
  <c r="A126" i="130"/>
  <c r="A125" i="130"/>
  <c r="A124" i="130"/>
  <c r="A123" i="130"/>
  <c r="A122" i="130"/>
  <c r="A121" i="130"/>
  <c r="A120" i="130"/>
  <c r="A119" i="130"/>
  <c r="A118" i="130"/>
  <c r="A117" i="130"/>
  <c r="A116" i="130"/>
  <c r="A115" i="130"/>
  <c r="A114" i="130"/>
  <c r="A113" i="130"/>
  <c r="A112" i="130"/>
  <c r="A111" i="130"/>
  <c r="A110" i="130"/>
  <c r="A109" i="130"/>
  <c r="A108" i="130"/>
  <c r="A107" i="130"/>
  <c r="A106" i="130"/>
  <c r="A105" i="130"/>
  <c r="A104" i="130"/>
  <c r="A103" i="130"/>
  <c r="A102" i="130"/>
  <c r="A101" i="130"/>
  <c r="A100" i="130"/>
  <c r="A99" i="130"/>
  <c r="A93" i="131"/>
  <c r="A92" i="131"/>
  <c r="A91" i="131"/>
  <c r="A90" i="131"/>
  <c r="A89" i="131"/>
  <c r="A88" i="131"/>
  <c r="A87" i="131"/>
  <c r="A86" i="131"/>
  <c r="A85" i="131"/>
  <c r="A84" i="131"/>
  <c r="A83" i="131"/>
  <c r="A82" i="131"/>
  <c r="A81" i="131"/>
  <c r="A80" i="131"/>
  <c r="A79" i="131"/>
  <c r="A78" i="131"/>
  <c r="A77" i="131"/>
  <c r="A76" i="131"/>
  <c r="A75" i="131"/>
  <c r="A74" i="131"/>
  <c r="A73" i="131"/>
  <c r="A72" i="131"/>
  <c r="A71" i="131"/>
  <c r="A70" i="131"/>
  <c r="A69" i="131"/>
  <c r="A68" i="131"/>
  <c r="A67" i="131"/>
  <c r="A66" i="131"/>
  <c r="A65" i="131"/>
  <c r="A64" i="131"/>
  <c r="A63" i="131"/>
  <c r="A62" i="131"/>
  <c r="A61" i="131"/>
  <c r="A60" i="131"/>
  <c r="A59" i="131"/>
  <c r="A58" i="131"/>
  <c r="A57" i="131"/>
  <c r="A56" i="131"/>
  <c r="A55" i="131"/>
  <c r="A54" i="131"/>
  <c r="A53" i="131"/>
  <c r="A52" i="131"/>
  <c r="A51" i="131"/>
  <c r="A50" i="131"/>
  <c r="A49" i="131"/>
  <c r="A48" i="131"/>
  <c r="A47" i="131"/>
  <c r="A46" i="131"/>
  <c r="A45" i="131"/>
  <c r="A44" i="131"/>
  <c r="A43" i="131"/>
  <c r="A42" i="131"/>
  <c r="A41" i="131"/>
  <c r="A40" i="131"/>
  <c r="A39" i="131"/>
  <c r="A38" i="131"/>
  <c r="A37" i="131"/>
  <c r="A36" i="131"/>
  <c r="A35" i="131"/>
  <c r="A34" i="131"/>
  <c r="A33" i="131"/>
  <c r="A32" i="131"/>
  <c r="A31" i="131"/>
  <c r="A30" i="131"/>
  <c r="A29" i="131"/>
  <c r="A28" i="131"/>
  <c r="A27" i="131"/>
  <c r="A26" i="131"/>
  <c r="A25" i="131"/>
  <c r="A24" i="131"/>
  <c r="A23" i="131"/>
  <c r="A22" i="131"/>
  <c r="A21" i="131"/>
  <c r="A20" i="131"/>
  <c r="A19" i="131"/>
  <c r="A18" i="131"/>
  <c r="A17" i="131"/>
  <c r="A16" i="131"/>
  <c r="A15" i="131"/>
  <c r="A14" i="131"/>
  <c r="A13" i="131"/>
  <c r="A12" i="131"/>
  <c r="A11" i="131"/>
  <c r="A10" i="131"/>
  <c r="A93" i="132"/>
  <c r="A92" i="132"/>
  <c r="A91" i="132"/>
  <c r="A90" i="132"/>
  <c r="A89" i="132"/>
  <c r="A88" i="132"/>
  <c r="A87" i="132"/>
  <c r="A86" i="132"/>
  <c r="A85" i="132"/>
  <c r="A84" i="132"/>
  <c r="A83" i="132"/>
  <c r="A82" i="132"/>
  <c r="A81" i="132"/>
  <c r="A80" i="132"/>
  <c r="A79" i="132"/>
  <c r="A78" i="132"/>
  <c r="A77" i="132"/>
  <c r="A76" i="132"/>
  <c r="A75" i="132"/>
  <c r="A74" i="132"/>
  <c r="A73" i="132"/>
  <c r="A72" i="132"/>
  <c r="A71" i="132"/>
  <c r="A70" i="132"/>
  <c r="A69" i="132"/>
  <c r="A68" i="132"/>
  <c r="A67" i="132"/>
  <c r="A66" i="132"/>
  <c r="A65" i="132"/>
  <c r="A64" i="132"/>
  <c r="A63" i="132"/>
  <c r="A62" i="132"/>
  <c r="A61" i="132"/>
  <c r="A60" i="132"/>
  <c r="A59" i="132"/>
  <c r="A58" i="132"/>
  <c r="A57" i="132"/>
  <c r="A56" i="132"/>
  <c r="A55" i="132"/>
  <c r="A54" i="132"/>
  <c r="A53" i="132"/>
  <c r="A52" i="132"/>
  <c r="A51" i="132"/>
  <c r="A50" i="132"/>
  <c r="A49" i="132"/>
  <c r="A48" i="132"/>
  <c r="A47" i="132"/>
  <c r="A46" i="132"/>
  <c r="A45" i="132"/>
  <c r="A44" i="132"/>
  <c r="A43" i="132"/>
  <c r="A42" i="132"/>
  <c r="A41" i="132"/>
  <c r="A40" i="132"/>
  <c r="A39" i="132"/>
  <c r="A38" i="132"/>
  <c r="A37" i="132"/>
  <c r="A36" i="132"/>
  <c r="A35" i="132"/>
  <c r="A34" i="132"/>
  <c r="A33" i="132"/>
  <c r="A32" i="132"/>
  <c r="A31" i="132"/>
  <c r="A30" i="132"/>
  <c r="A29" i="132"/>
  <c r="A28" i="132"/>
  <c r="A27" i="132"/>
  <c r="A26" i="132"/>
  <c r="A25" i="132"/>
  <c r="A24" i="132"/>
  <c r="A23" i="132"/>
  <c r="A22" i="132"/>
  <c r="A21" i="132"/>
  <c r="A20" i="132"/>
  <c r="A19" i="132"/>
  <c r="A18" i="132"/>
  <c r="A17" i="132"/>
  <c r="A16" i="132"/>
  <c r="A15" i="132"/>
  <c r="A14" i="132"/>
  <c r="A13" i="132"/>
  <c r="A12" i="132"/>
  <c r="A11" i="132"/>
  <c r="A10" i="132"/>
  <c r="A93" i="130"/>
  <c r="A92" i="130"/>
  <c r="A91" i="130"/>
  <c r="A90" i="130"/>
  <c r="A89" i="130"/>
  <c r="A88" i="130"/>
  <c r="A87" i="130"/>
  <c r="A86" i="130"/>
  <c r="A85" i="130"/>
  <c r="A84" i="130"/>
  <c r="A83" i="130"/>
  <c r="A82" i="130"/>
  <c r="A81" i="130"/>
  <c r="A80" i="130"/>
  <c r="A79" i="130"/>
  <c r="A78" i="130"/>
  <c r="A77" i="130"/>
  <c r="A76" i="130"/>
  <c r="A75" i="130"/>
  <c r="A74" i="130"/>
  <c r="A73" i="130"/>
  <c r="A72" i="130"/>
  <c r="A71" i="130"/>
  <c r="A70" i="130"/>
  <c r="A69" i="130"/>
  <c r="A68" i="130"/>
  <c r="A67" i="130"/>
  <c r="A66" i="130"/>
  <c r="A65" i="130"/>
  <c r="A64" i="130"/>
  <c r="A63" i="130"/>
  <c r="A62" i="130"/>
  <c r="A61" i="130"/>
  <c r="A60" i="130"/>
  <c r="A59" i="130"/>
  <c r="A58" i="130"/>
  <c r="A57" i="130"/>
  <c r="A56" i="130"/>
  <c r="A55" i="130"/>
  <c r="A54" i="130"/>
  <c r="A53" i="130"/>
  <c r="A52" i="130"/>
  <c r="A51" i="130"/>
  <c r="A50" i="130"/>
  <c r="A49" i="130"/>
  <c r="A48" i="130"/>
  <c r="A47" i="130"/>
  <c r="A46" i="130"/>
  <c r="A45" i="130"/>
  <c r="A44" i="130"/>
  <c r="A43" i="130"/>
  <c r="A42" i="130"/>
  <c r="A41" i="130"/>
  <c r="A40" i="130"/>
  <c r="A39" i="130"/>
  <c r="A38" i="130"/>
  <c r="A37" i="130"/>
  <c r="A36" i="130"/>
  <c r="A35" i="130"/>
  <c r="A34" i="130"/>
  <c r="A33" i="130"/>
  <c r="A32" i="130"/>
  <c r="A31" i="130"/>
  <c r="A30" i="130"/>
  <c r="A29" i="130"/>
  <c r="A28" i="130"/>
  <c r="A27" i="130"/>
  <c r="A26" i="130"/>
  <c r="A25" i="130"/>
  <c r="A24" i="130"/>
  <c r="A23" i="130"/>
  <c r="A22" i="130"/>
  <c r="A21" i="130"/>
  <c r="A20" i="130"/>
  <c r="A19" i="130"/>
  <c r="A18" i="130"/>
  <c r="A17" i="130"/>
  <c r="A16" i="130"/>
  <c r="A15" i="130"/>
  <c r="A14" i="130"/>
  <c r="A13" i="130"/>
  <c r="A12" i="130"/>
  <c r="A11" i="130"/>
  <c r="A10" i="130"/>
  <c r="B165" i="131"/>
  <c r="B165" i="132"/>
  <c r="B165" i="130"/>
  <c r="B164" i="131"/>
  <c r="B164" i="132"/>
  <c r="B164" i="130"/>
  <c r="A162" i="131"/>
  <c r="A162" i="132"/>
  <c r="A162" i="130"/>
  <c r="B158" i="131"/>
  <c r="B159" i="131"/>
  <c r="B160" i="131"/>
  <c r="B158" i="132"/>
  <c r="B159" i="132"/>
  <c r="B160" i="132"/>
  <c r="B158" i="130"/>
  <c r="B159" i="130"/>
  <c r="B160" i="130"/>
  <c r="B157" i="131"/>
  <c r="B157" i="132"/>
  <c r="B157" i="130"/>
  <c r="B153" i="131"/>
  <c r="B154" i="131"/>
  <c r="B155" i="131"/>
  <c r="B156" i="131"/>
  <c r="B153" i="132"/>
  <c r="B154" i="132"/>
  <c r="B155" i="132"/>
  <c r="B156" i="132"/>
  <c r="B153" i="130"/>
  <c r="B154" i="130"/>
  <c r="B155" i="130"/>
  <c r="B156" i="130"/>
  <c r="B152" i="131"/>
  <c r="B152" i="132"/>
  <c r="B152" i="130"/>
  <c r="B151" i="131"/>
  <c r="B151" i="132"/>
  <c r="B151" i="130"/>
  <c r="B148" i="131"/>
  <c r="B149" i="131"/>
  <c r="B150" i="131"/>
  <c r="B148" i="132"/>
  <c r="B149" i="132"/>
  <c r="B150" i="132"/>
  <c r="B148" i="130"/>
  <c r="B149" i="130"/>
  <c r="B150" i="130"/>
  <c r="B147" i="131"/>
  <c r="B147" i="132"/>
  <c r="B147" i="130"/>
  <c r="B146" i="131"/>
  <c r="B146" i="132"/>
  <c r="B146" i="130"/>
  <c r="B141" i="131"/>
  <c r="B142" i="131"/>
  <c r="B143" i="131"/>
  <c r="B144" i="131"/>
  <c r="B145" i="131"/>
  <c r="B141" i="132"/>
  <c r="B142" i="132"/>
  <c r="B143" i="132"/>
  <c r="B144" i="132"/>
  <c r="B145" i="132"/>
  <c r="B141" i="130"/>
  <c r="B142" i="130"/>
  <c r="B143" i="130"/>
  <c r="B144" i="130"/>
  <c r="B145" i="130"/>
  <c r="B140" i="131"/>
  <c r="B140" i="132"/>
  <c r="B140" i="130"/>
  <c r="B139" i="131"/>
  <c r="B139" i="132"/>
  <c r="B139" i="130"/>
  <c r="B137" i="131"/>
  <c r="B138" i="131"/>
  <c r="B137" i="132"/>
  <c r="B138" i="132"/>
  <c r="B137" i="130"/>
  <c r="B138" i="130"/>
  <c r="B136" i="131"/>
  <c r="B136" i="132"/>
  <c r="B136" i="130"/>
  <c r="B135" i="131"/>
  <c r="B135" i="132"/>
  <c r="B135" i="130"/>
  <c r="B134" i="131"/>
  <c r="B134" i="132"/>
  <c r="B134" i="130"/>
  <c r="B122" i="131"/>
  <c r="B123" i="131"/>
  <c r="B124" i="131"/>
  <c r="B125" i="131"/>
  <c r="B126" i="131"/>
  <c r="B127" i="131"/>
  <c r="B128" i="131"/>
  <c r="B129" i="131"/>
  <c r="B130" i="131"/>
  <c r="B131" i="131"/>
  <c r="B132" i="131"/>
  <c r="B133" i="131"/>
  <c r="B122" i="132"/>
  <c r="B123" i="132"/>
  <c r="B124" i="132"/>
  <c r="B125" i="132"/>
  <c r="B126" i="132"/>
  <c r="B127" i="132"/>
  <c r="B128" i="132"/>
  <c r="B129" i="132"/>
  <c r="B130" i="132"/>
  <c r="B131" i="132"/>
  <c r="B132" i="132"/>
  <c r="B133" i="132"/>
  <c r="B122" i="130"/>
  <c r="B123" i="130"/>
  <c r="B124" i="130"/>
  <c r="B125" i="130"/>
  <c r="B126" i="130"/>
  <c r="B127" i="130"/>
  <c r="B128" i="130"/>
  <c r="B129" i="130"/>
  <c r="B130" i="130"/>
  <c r="B131" i="130"/>
  <c r="B132" i="130"/>
  <c r="B133" i="130"/>
  <c r="B121" i="131"/>
  <c r="B121" i="132"/>
  <c r="B121" i="130"/>
  <c r="B120" i="131"/>
  <c r="B120" i="132"/>
  <c r="B120" i="130"/>
  <c r="B101" i="131"/>
  <c r="B102" i="131"/>
  <c r="B103" i="131"/>
  <c r="B104" i="131"/>
  <c r="B105" i="131"/>
  <c r="B106" i="131"/>
  <c r="B107" i="131"/>
  <c r="B108" i="131"/>
  <c r="B109" i="131"/>
  <c r="B110" i="131"/>
  <c r="B111" i="131"/>
  <c r="B112" i="131"/>
  <c r="B113" i="131"/>
  <c r="B114" i="131"/>
  <c r="B115" i="131"/>
  <c r="B116" i="131"/>
  <c r="B117" i="131"/>
  <c r="B118" i="131"/>
  <c r="B119" i="131"/>
  <c r="B101" i="132"/>
  <c r="B102" i="132"/>
  <c r="B103" i="132"/>
  <c r="B104" i="132"/>
  <c r="B105" i="132"/>
  <c r="B106" i="132"/>
  <c r="B107" i="132"/>
  <c r="B108" i="132"/>
  <c r="B109" i="132"/>
  <c r="B110" i="132"/>
  <c r="B111" i="132"/>
  <c r="B112" i="132"/>
  <c r="B113" i="132"/>
  <c r="B114" i="132"/>
  <c r="B115" i="132"/>
  <c r="B116" i="132"/>
  <c r="B117" i="132"/>
  <c r="B118" i="132"/>
  <c r="B119" i="132"/>
  <c r="B101" i="130"/>
  <c r="B102" i="130"/>
  <c r="B103" i="130"/>
  <c r="B104" i="130"/>
  <c r="B105" i="130"/>
  <c r="B106" i="130"/>
  <c r="B107" i="130"/>
  <c r="B108" i="130"/>
  <c r="B109" i="130"/>
  <c r="B110" i="130"/>
  <c r="B111" i="130"/>
  <c r="B112" i="130"/>
  <c r="B113" i="130"/>
  <c r="B114" i="130"/>
  <c r="B115" i="130"/>
  <c r="B116" i="130"/>
  <c r="B117" i="130"/>
  <c r="B118" i="130"/>
  <c r="B119" i="130"/>
  <c r="B100" i="131"/>
  <c r="B100" i="132"/>
  <c r="B100" i="130"/>
  <c r="B99" i="131"/>
  <c r="B99" i="132"/>
  <c r="B99" i="130"/>
  <c r="C98" i="131"/>
  <c r="C98" i="132"/>
  <c r="C98" i="130"/>
  <c r="B98" i="131"/>
  <c r="B98" i="132"/>
  <c r="B98" i="130"/>
  <c r="B97" i="131"/>
  <c r="B97" i="132"/>
  <c r="B97" i="130"/>
  <c r="A97" i="131"/>
  <c r="A97" i="132"/>
  <c r="A97" i="130"/>
  <c r="A95" i="131"/>
  <c r="A95" i="132"/>
  <c r="A95" i="130"/>
  <c r="C9" i="131"/>
  <c r="C9" i="132"/>
  <c r="C9" i="130"/>
  <c r="B9" i="131"/>
  <c r="B9" i="132"/>
  <c r="B9" i="130"/>
  <c r="B8" i="131"/>
  <c r="B8" i="132"/>
  <c r="A8" i="131"/>
  <c r="A8" i="132"/>
  <c r="A8" i="130"/>
  <c r="A6" i="131"/>
  <c r="A6" i="132"/>
  <c r="A6" i="130"/>
  <c r="C7" i="131"/>
  <c r="C7" i="132"/>
  <c r="C7" i="130"/>
  <c r="B91" i="131"/>
  <c r="B92" i="131"/>
  <c r="B93" i="131"/>
  <c r="B91" i="132"/>
  <c r="B92" i="132"/>
  <c r="B93" i="132"/>
  <c r="B91" i="130"/>
  <c r="B92" i="130"/>
  <c r="B93" i="130"/>
  <c r="B90" i="131"/>
  <c r="B90" i="132"/>
  <c r="B90" i="130"/>
  <c r="B87" i="131"/>
  <c r="B88" i="131"/>
  <c r="B89" i="131"/>
  <c r="B87" i="132"/>
  <c r="B88" i="132"/>
  <c r="B89" i="132"/>
  <c r="B87" i="130"/>
  <c r="B88" i="130"/>
  <c r="B89" i="130"/>
  <c r="B86" i="131"/>
  <c r="B86" i="132"/>
  <c r="B86" i="130"/>
  <c r="B85" i="131"/>
  <c r="B85" i="132"/>
  <c r="B85" i="130"/>
  <c r="B83" i="131"/>
  <c r="B84" i="131"/>
  <c r="B83" i="132"/>
  <c r="B84" i="132"/>
  <c r="B83" i="130"/>
  <c r="B84" i="130"/>
  <c r="B82" i="131"/>
  <c r="B82" i="132"/>
  <c r="B82" i="130"/>
  <c r="B81" i="131"/>
  <c r="B81" i="132"/>
  <c r="B81" i="130"/>
  <c r="B80" i="131"/>
  <c r="B80" i="132"/>
  <c r="B80" i="130"/>
  <c r="B79" i="131"/>
  <c r="B79" i="132"/>
  <c r="B79" i="130"/>
  <c r="B78" i="131"/>
  <c r="B78" i="132"/>
  <c r="B78" i="130"/>
  <c r="B75" i="131"/>
  <c r="B76" i="131"/>
  <c r="B77" i="131"/>
  <c r="B75" i="132"/>
  <c r="B76" i="132"/>
  <c r="B77" i="132"/>
  <c r="B75" i="130"/>
  <c r="B76" i="130"/>
  <c r="B77" i="130"/>
  <c r="B74" i="131"/>
  <c r="B74" i="132"/>
  <c r="B74" i="130"/>
  <c r="B73" i="131"/>
  <c r="B73" i="132"/>
  <c r="B73" i="130"/>
  <c r="B71" i="131"/>
  <c r="B72" i="131"/>
  <c r="B71" i="132"/>
  <c r="B72" i="132"/>
  <c r="B71" i="130"/>
  <c r="B72" i="130"/>
  <c r="B70" i="131"/>
  <c r="B70" i="132"/>
  <c r="B70" i="130"/>
  <c r="B69" i="131"/>
  <c r="B69" i="132"/>
  <c r="B69" i="130"/>
  <c r="B68" i="131"/>
  <c r="B68" i="132"/>
  <c r="B68" i="130"/>
  <c r="B65" i="131"/>
  <c r="B66" i="131"/>
  <c r="B67" i="131"/>
  <c r="B65" i="132"/>
  <c r="B66" i="132"/>
  <c r="B67" i="132"/>
  <c r="B65" i="130"/>
  <c r="B66" i="130"/>
  <c r="B67" i="130"/>
  <c r="B64" i="131"/>
  <c r="B64" i="132"/>
  <c r="B64" i="130"/>
  <c r="B63" i="131"/>
  <c r="B63" i="132"/>
  <c r="B63" i="130"/>
  <c r="B60" i="131"/>
  <c r="B61" i="131"/>
  <c r="B62" i="131"/>
  <c r="B60" i="132"/>
  <c r="B61" i="132"/>
  <c r="B62" i="132"/>
  <c r="B60" i="130"/>
  <c r="B61" i="130"/>
  <c r="B62" i="130"/>
  <c r="B59" i="131"/>
  <c r="B59" i="132"/>
  <c r="B59" i="130"/>
  <c r="B58" i="131"/>
  <c r="B58" i="132"/>
  <c r="B58" i="130"/>
  <c r="B54" i="131"/>
  <c r="B55" i="131"/>
  <c r="B56" i="131"/>
  <c r="B57" i="131"/>
  <c r="B54" i="132"/>
  <c r="B55" i="132"/>
  <c r="B56" i="132"/>
  <c r="B57" i="132"/>
  <c r="B54" i="130"/>
  <c r="B55" i="130"/>
  <c r="B56" i="130"/>
  <c r="B57" i="130"/>
  <c r="B53" i="131"/>
  <c r="B53" i="132"/>
  <c r="B53" i="130"/>
  <c r="B52" i="131"/>
  <c r="B52" i="132"/>
  <c r="B52" i="130"/>
  <c r="B42" i="131"/>
  <c r="B43" i="131"/>
  <c r="B44" i="131"/>
  <c r="B45" i="131"/>
  <c r="B46" i="131"/>
  <c r="B47" i="131"/>
  <c r="B48" i="131"/>
  <c r="B49" i="131"/>
  <c r="B50" i="131"/>
  <c r="B51" i="131"/>
  <c r="B42" i="132"/>
  <c r="B43" i="132"/>
  <c r="B44" i="132"/>
  <c r="B45" i="132"/>
  <c r="B46" i="132"/>
  <c r="B47" i="132"/>
  <c r="B48" i="132"/>
  <c r="B49" i="132"/>
  <c r="B50" i="132"/>
  <c r="B51" i="132"/>
  <c r="B42" i="130"/>
  <c r="B43" i="130"/>
  <c r="B44" i="130"/>
  <c r="B45" i="130"/>
  <c r="B46" i="130"/>
  <c r="B47" i="130"/>
  <c r="B48" i="130"/>
  <c r="B49" i="130"/>
  <c r="B50" i="130"/>
  <c r="B51" i="130"/>
  <c r="B41" i="131"/>
  <c r="B41" i="132"/>
  <c r="B41" i="130"/>
  <c r="B40" i="131"/>
  <c r="B40" i="132"/>
  <c r="B40" i="130"/>
  <c r="B34" i="131"/>
  <c r="B35" i="131"/>
  <c r="B36" i="131"/>
  <c r="B37" i="131"/>
  <c r="B38" i="131"/>
  <c r="B39" i="131"/>
  <c r="B34" i="132"/>
  <c r="B35" i="132"/>
  <c r="B36" i="132"/>
  <c r="B37" i="132"/>
  <c r="B38" i="132"/>
  <c r="B39" i="132"/>
  <c r="B35" i="130"/>
  <c r="B36" i="130"/>
  <c r="B37" i="130"/>
  <c r="B38" i="130"/>
  <c r="B33" i="131"/>
  <c r="B33" i="132"/>
  <c r="B33" i="130"/>
  <c r="B32" i="131"/>
  <c r="B32" i="132"/>
  <c r="B32" i="130"/>
  <c r="B27" i="131"/>
  <c r="B28" i="131"/>
  <c r="B29" i="131"/>
  <c r="B30" i="131"/>
  <c r="B31" i="131"/>
  <c r="B27" i="132"/>
  <c r="B28" i="132"/>
  <c r="B29" i="132"/>
  <c r="B30" i="132"/>
  <c r="B31" i="132"/>
  <c r="B27" i="130"/>
  <c r="B28" i="130"/>
  <c r="B29" i="130"/>
  <c r="B30" i="130"/>
  <c r="B31" i="130"/>
  <c r="B26" i="131"/>
  <c r="B26" i="132"/>
  <c r="B26" i="130"/>
  <c r="B25" i="131"/>
  <c r="B25" i="132"/>
  <c r="B25" i="130"/>
  <c r="B10" i="131"/>
  <c r="B10" i="132"/>
  <c r="B10" i="130"/>
  <c r="B12" i="131"/>
  <c r="B13" i="131"/>
  <c r="B14" i="131"/>
  <c r="B15" i="131"/>
  <c r="B16" i="131"/>
  <c r="B17" i="131"/>
  <c r="B18" i="131"/>
  <c r="B19" i="131"/>
  <c r="B20" i="131"/>
  <c r="B21" i="131"/>
  <c r="B22" i="131"/>
  <c r="B23" i="131"/>
  <c r="B24" i="131"/>
  <c r="B12" i="132"/>
  <c r="B13" i="132"/>
  <c r="B14" i="132"/>
  <c r="B15" i="132"/>
  <c r="B16" i="132"/>
  <c r="B17" i="132"/>
  <c r="B18" i="132"/>
  <c r="B19" i="132"/>
  <c r="B20" i="132"/>
  <c r="B21" i="132"/>
  <c r="B22" i="132"/>
  <c r="B23" i="132"/>
  <c r="B24" i="132"/>
  <c r="B12" i="130"/>
  <c r="B13" i="130"/>
  <c r="B14" i="130"/>
  <c r="B15" i="130"/>
  <c r="B16" i="130"/>
  <c r="B17" i="130"/>
  <c r="B18" i="130"/>
  <c r="B19" i="130"/>
  <c r="B20" i="130"/>
  <c r="B21" i="130"/>
  <c r="B22" i="130"/>
  <c r="B23" i="130"/>
  <c r="B24" i="130"/>
  <c r="B11" i="131"/>
  <c r="B11" i="132"/>
  <c r="B11" i="130"/>
  <c r="C151" i="132"/>
  <c r="C146" i="132"/>
  <c r="C139" i="132"/>
  <c r="C135" i="132"/>
  <c r="C159" i="132" s="1"/>
  <c r="C120" i="132"/>
  <c r="C99" i="132"/>
  <c r="C85" i="132"/>
  <c r="C81" i="132"/>
  <c r="C78" i="132"/>
  <c r="C73" i="132"/>
  <c r="C69" i="132"/>
  <c r="C63" i="132"/>
  <c r="C58" i="132"/>
  <c r="C52" i="132"/>
  <c r="C40" i="132"/>
  <c r="C32" i="132"/>
  <c r="C25" i="132"/>
  <c r="C19" i="132"/>
  <c r="C10" i="132" s="1"/>
  <c r="C68" i="132" s="1"/>
  <c r="C151" i="131"/>
  <c r="C146" i="131"/>
  <c r="C139" i="131"/>
  <c r="C135" i="131"/>
  <c r="C159" i="131" s="1"/>
  <c r="C120" i="131"/>
  <c r="C99" i="131"/>
  <c r="C134" i="131" s="1"/>
  <c r="C160" i="131" s="1"/>
  <c r="C85" i="131"/>
  <c r="C81" i="131"/>
  <c r="C78" i="131"/>
  <c r="C73" i="131"/>
  <c r="C69" i="131"/>
  <c r="C63" i="131"/>
  <c r="C58" i="131"/>
  <c r="C52" i="131"/>
  <c r="C40" i="131"/>
  <c r="C32" i="131"/>
  <c r="C25" i="131"/>
  <c r="C19" i="131"/>
  <c r="C10" i="131"/>
  <c r="C151" i="130"/>
  <c r="C146" i="130"/>
  <c r="C139" i="130"/>
  <c r="C135" i="130"/>
  <c r="C120" i="130"/>
  <c r="C85" i="130"/>
  <c r="C81" i="130"/>
  <c r="C78" i="130"/>
  <c r="C73" i="130"/>
  <c r="C69" i="130"/>
  <c r="C63" i="130"/>
  <c r="C58" i="130"/>
  <c r="C52" i="130"/>
  <c r="C40" i="130"/>
  <c r="C32" i="130"/>
  <c r="E149" i="87"/>
  <c r="C14" i="76"/>
  <c r="C15" i="76"/>
  <c r="A14" i="76"/>
  <c r="A15" i="76"/>
  <c r="C13" i="76"/>
  <c r="A13" i="76"/>
  <c r="C7" i="76"/>
  <c r="C8" i="76"/>
  <c r="A8" i="76"/>
  <c r="A7" i="76"/>
  <c r="C6" i="76"/>
  <c r="A6" i="76"/>
  <c r="D7" i="94"/>
  <c r="F1" i="73" s="1"/>
  <c r="E30" i="497"/>
  <c r="D30" i="497"/>
  <c r="C30" i="497"/>
  <c r="B29" i="497"/>
  <c r="E24" i="497"/>
  <c r="D24" i="497"/>
  <c r="C24" i="497"/>
  <c r="B23" i="497"/>
  <c r="B22" i="497"/>
  <c r="B21" i="497"/>
  <c r="B19" i="497"/>
  <c r="E7" i="497"/>
  <c r="N13" i="94"/>
  <c r="R13" i="94" s="1"/>
  <c r="N15" i="94"/>
  <c r="R15" i="94" s="1"/>
  <c r="Q15" i="94"/>
  <c r="N11" i="94"/>
  <c r="R11" i="94" s="1"/>
  <c r="A4" i="77"/>
  <c r="A4" i="62"/>
  <c r="A2" i="1"/>
  <c r="C24" i="73"/>
  <c r="B36" i="134"/>
  <c r="B35" i="134"/>
  <c r="B34" i="134"/>
  <c r="B33" i="134"/>
  <c r="B32" i="134"/>
  <c r="B31" i="134"/>
  <c r="B30" i="134"/>
  <c r="B29" i="134"/>
  <c r="B27" i="134"/>
  <c r="B28" i="134"/>
  <c r="O6" i="24"/>
  <c r="O7" i="24"/>
  <c r="O8" i="24"/>
  <c r="O9" i="24"/>
  <c r="O10" i="24"/>
  <c r="O11" i="24"/>
  <c r="O12" i="24"/>
  <c r="O13" i="24"/>
  <c r="C14" i="24"/>
  <c r="D14" i="24"/>
  <c r="E14" i="24"/>
  <c r="F14" i="24"/>
  <c r="F26" i="24" s="1"/>
  <c r="G14" i="24"/>
  <c r="H14" i="24"/>
  <c r="I14" i="24"/>
  <c r="I26" i="24" s="1"/>
  <c r="J14" i="24"/>
  <c r="K14" i="24"/>
  <c r="L14" i="24"/>
  <c r="M14" i="24"/>
  <c r="N14" i="24"/>
  <c r="O16" i="24"/>
  <c r="O17" i="24"/>
  <c r="O18" i="24"/>
  <c r="O19" i="24"/>
  <c r="O20" i="24"/>
  <c r="O21" i="24"/>
  <c r="O22" i="24"/>
  <c r="O23" i="24"/>
  <c r="O24" i="24"/>
  <c r="C25" i="24"/>
  <c r="D25" i="24"/>
  <c r="E25" i="24"/>
  <c r="F25" i="24"/>
  <c r="G25" i="24"/>
  <c r="H25" i="24"/>
  <c r="I25" i="24"/>
  <c r="J25" i="24"/>
  <c r="K25" i="24"/>
  <c r="L25" i="24"/>
  <c r="L26" i="24" s="1"/>
  <c r="M25" i="24"/>
  <c r="N25" i="24"/>
  <c r="C32" i="88"/>
  <c r="D32" i="88"/>
  <c r="D6" i="66"/>
  <c r="E6" i="66"/>
  <c r="F6" i="66"/>
  <c r="G6" i="66"/>
  <c r="H6" i="66"/>
  <c r="I7" i="66"/>
  <c r="I8" i="66"/>
  <c r="D9" i="66"/>
  <c r="E9" i="66"/>
  <c r="F9" i="66"/>
  <c r="G9" i="66"/>
  <c r="H9" i="66"/>
  <c r="I10" i="66"/>
  <c r="I11" i="66"/>
  <c r="D12" i="66"/>
  <c r="E12" i="66"/>
  <c r="F12" i="66"/>
  <c r="G12" i="66"/>
  <c r="H12" i="66"/>
  <c r="I13" i="66"/>
  <c r="D14" i="66"/>
  <c r="E14" i="66"/>
  <c r="F14" i="66"/>
  <c r="G14" i="66"/>
  <c r="H14" i="66"/>
  <c r="I15" i="66"/>
  <c r="D16" i="66"/>
  <c r="D18" i="66" s="1"/>
  <c r="E16" i="66"/>
  <c r="F16" i="66"/>
  <c r="G16" i="66"/>
  <c r="H16" i="66"/>
  <c r="I17" i="66"/>
  <c r="A2" i="87"/>
  <c r="D56" i="87"/>
  <c r="D67" i="87"/>
  <c r="D71" i="87"/>
  <c r="D76" i="87"/>
  <c r="D79" i="87"/>
  <c r="D83" i="87"/>
  <c r="D118" i="87"/>
  <c r="D133" i="87"/>
  <c r="D137" i="87"/>
  <c r="D144" i="87"/>
  <c r="D149" i="87"/>
  <c r="G13" i="89"/>
  <c r="G14" i="89"/>
  <c r="G15" i="89"/>
  <c r="G16" i="89"/>
  <c r="G17" i="89"/>
  <c r="G18" i="89"/>
  <c r="C19" i="89"/>
  <c r="D19" i="89"/>
  <c r="E19" i="89"/>
  <c r="F19" i="89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B25" i="64"/>
  <c r="D25" i="64"/>
  <c r="E25" i="64"/>
  <c r="F9" i="63"/>
  <c r="F10" i="63"/>
  <c r="F11" i="63"/>
  <c r="F12" i="63"/>
  <c r="F13" i="63"/>
  <c r="F14" i="63"/>
  <c r="F15" i="63"/>
  <c r="F16" i="63"/>
  <c r="F17" i="63"/>
  <c r="F18" i="63"/>
  <c r="F19" i="63"/>
  <c r="F20" i="63"/>
  <c r="F21" i="63"/>
  <c r="F22" i="63"/>
  <c r="F23" i="63"/>
  <c r="B24" i="63"/>
  <c r="D24" i="63"/>
  <c r="E24" i="63"/>
  <c r="C11" i="78"/>
  <c r="C14" i="77"/>
  <c r="F9" i="62"/>
  <c r="F10" i="62"/>
  <c r="F11" i="62"/>
  <c r="F12" i="62"/>
  <c r="F13" i="62"/>
  <c r="C14" i="62"/>
  <c r="D14" i="62"/>
  <c r="E14" i="62"/>
  <c r="E2" i="61"/>
  <c r="E5" i="62" s="1"/>
  <c r="E2" i="73"/>
  <c r="A2" i="132"/>
  <c r="A2" i="131"/>
  <c r="A2" i="130"/>
  <c r="C96" i="1"/>
  <c r="C96" i="130" s="1"/>
  <c r="C96" i="131"/>
  <c r="C134" i="132"/>
  <c r="E157" i="87"/>
  <c r="C96" i="132"/>
  <c r="B24" i="497"/>
  <c r="C159" i="1"/>
  <c r="B14" i="76"/>
  <c r="C24" i="134"/>
  <c r="C25" i="134"/>
  <c r="C27" i="134"/>
  <c r="C31" i="134"/>
  <c r="C36" i="134"/>
  <c r="C26" i="134"/>
  <c r="C22" i="134"/>
  <c r="C33" i="134"/>
  <c r="C29" i="134"/>
  <c r="C30" i="134"/>
  <c r="C34" i="134"/>
  <c r="C28" i="134"/>
  <c r="C32" i="134"/>
  <c r="C35" i="134"/>
  <c r="C23" i="134"/>
  <c r="C32" i="61"/>
  <c r="P11" i="94"/>
  <c r="E26" i="24"/>
  <c r="E5" i="87"/>
  <c r="E94" i="87" s="1"/>
  <c r="I2" i="66"/>
  <c r="D4" i="88" s="1"/>
  <c r="O3" i="24" s="1"/>
  <c r="C4" i="70" s="1"/>
  <c r="E31" i="73"/>
  <c r="P15" i="94"/>
  <c r="G26" i="24"/>
  <c r="C20" i="134"/>
  <c r="C13" i="134"/>
  <c r="C15" i="134"/>
  <c r="C18" i="134"/>
  <c r="C14" i="134"/>
  <c r="C44" i="134"/>
  <c r="C43" i="134"/>
  <c r="C19" i="134"/>
  <c r="C12" i="134"/>
  <c r="C10" i="134"/>
  <c r="C8" i="134"/>
  <c r="C37" i="134"/>
  <c r="C16" i="134"/>
  <c r="C17" i="134"/>
  <c r="C21" i="134"/>
  <c r="C11" i="134"/>
  <c r="C42" i="134"/>
  <c r="C9" i="134"/>
  <c r="C41" i="134"/>
  <c r="C7" i="134"/>
  <c r="C40" i="134"/>
  <c r="F14" i="62" l="1"/>
  <c r="C160" i="132"/>
  <c r="D26" i="24"/>
  <c r="Q11" i="94"/>
  <c r="C30" i="61"/>
  <c r="C31" i="61" s="1"/>
  <c r="D8" i="76" s="1"/>
  <c r="E90" i="87"/>
  <c r="C92" i="132"/>
  <c r="C165" i="132" s="1"/>
  <c r="C158" i="87"/>
  <c r="G19" i="89"/>
  <c r="D90" i="87"/>
  <c r="I6" i="66"/>
  <c r="K26" i="24"/>
  <c r="D66" i="87"/>
  <c r="D91" i="87" s="1"/>
  <c r="C134" i="130"/>
  <c r="C160" i="130" s="1"/>
  <c r="C27" i="2"/>
  <c r="F24" i="63"/>
  <c r="G18" i="66"/>
  <c r="C159" i="130"/>
  <c r="D13" i="76"/>
  <c r="B30" i="497"/>
  <c r="C68" i="1"/>
  <c r="B6" i="76" s="1"/>
  <c r="D16" i="500"/>
  <c r="N17" i="94"/>
  <c r="E30" i="73"/>
  <c r="C163" i="1"/>
  <c r="D157" i="87"/>
  <c r="H18" i="66"/>
  <c r="E18" i="66"/>
  <c r="C92" i="130"/>
  <c r="C165" i="130" s="1"/>
  <c r="C90" i="87"/>
  <c r="C16" i="499"/>
  <c r="C17" i="499" s="1"/>
  <c r="D132" i="87"/>
  <c r="I12" i="66"/>
  <c r="C157" i="87"/>
  <c r="E158" i="87"/>
  <c r="F25" i="64"/>
  <c r="I14" i="66"/>
  <c r="C68" i="131"/>
  <c r="C164" i="131" s="1"/>
  <c r="C92" i="131"/>
  <c r="C165" i="131" s="1"/>
  <c r="C29" i="73"/>
  <c r="C30" i="73" s="1"/>
  <c r="C32" i="73" s="1"/>
  <c r="A33" i="73" s="1"/>
  <c r="C68" i="130"/>
  <c r="C66" i="87"/>
  <c r="D39" i="128"/>
  <c r="O25" i="24"/>
  <c r="C26" i="24"/>
  <c r="N26" i="24"/>
  <c r="J26" i="24"/>
  <c r="M26" i="24"/>
  <c r="H26" i="24"/>
  <c r="O14" i="24"/>
  <c r="E66" i="87"/>
  <c r="D28" i="70"/>
  <c r="D7" i="76"/>
  <c r="C31" i="73"/>
  <c r="D15" i="76"/>
  <c r="C93" i="1"/>
  <c r="B7" i="76"/>
  <c r="E7" i="76" s="1"/>
  <c r="C165" i="1"/>
  <c r="C38" i="429"/>
  <c r="C164" i="132"/>
  <c r="C93" i="132"/>
  <c r="C161" i="132" s="1"/>
  <c r="D158" i="87"/>
  <c r="B13" i="76"/>
  <c r="E13" i="76" s="1"/>
  <c r="C160" i="1"/>
  <c r="B15" i="76" s="1"/>
  <c r="C39" i="128"/>
  <c r="B2" i="64"/>
  <c r="Q17" i="94"/>
  <c r="Q13" i="94"/>
  <c r="D6" i="76"/>
  <c r="P13" i="94"/>
  <c r="B1" i="132"/>
  <c r="A5" i="75"/>
  <c r="C5" i="77"/>
  <c r="C5" i="78" s="1"/>
  <c r="F5" i="63" s="1"/>
  <c r="F5" i="64" s="1"/>
  <c r="E3" i="497" s="1"/>
  <c r="E12" i="497" s="1"/>
  <c r="F1" i="497"/>
  <c r="E32" i="73"/>
  <c r="N19" i="94"/>
  <c r="B2" i="78"/>
  <c r="B1" i="1"/>
  <c r="I16" i="66"/>
  <c r="E32" i="61"/>
  <c r="I9" i="66"/>
  <c r="B1" i="130"/>
  <c r="F18" i="66"/>
  <c r="B2" i="77"/>
  <c r="F1" i="61"/>
  <c r="B1" i="131"/>
  <c r="A3" i="1"/>
  <c r="A3" i="130" s="1"/>
  <c r="A3" i="131" s="1"/>
  <c r="A3" i="132" s="1"/>
  <c r="B2" i="63"/>
  <c r="A3" i="87"/>
  <c r="A4" i="78"/>
  <c r="B2" i="62"/>
  <c r="C93" i="131" l="1"/>
  <c r="C161" i="131" s="1"/>
  <c r="P17" i="94"/>
  <c r="R17" i="94"/>
  <c r="C164" i="130"/>
  <c r="C164" i="1"/>
  <c r="I18" i="66"/>
  <c r="C93" i="130"/>
  <c r="E91" i="87"/>
  <c r="E159" i="87" s="1"/>
  <c r="O26" i="24"/>
  <c r="C91" i="87"/>
  <c r="C163" i="130"/>
  <c r="C163" i="131"/>
  <c r="C163" i="132"/>
  <c r="E15" i="76"/>
  <c r="C161" i="130"/>
  <c r="C7" i="62"/>
  <c r="D7" i="62" s="1"/>
  <c r="E7" i="62" s="1"/>
  <c r="F6" i="63"/>
  <c r="A12" i="75"/>
  <c r="A11" i="76" s="1"/>
  <c r="F6" i="64"/>
  <c r="D3" i="66"/>
  <c r="G4" i="66"/>
  <c r="C6" i="87"/>
  <c r="C95" i="87" s="1"/>
  <c r="C8" i="1"/>
  <c r="D6" i="63"/>
  <c r="D6" i="64" s="1"/>
  <c r="A4" i="76"/>
  <c r="F4" i="66"/>
  <c r="C3" i="2"/>
  <c r="H4" i="66"/>
  <c r="A2" i="24"/>
  <c r="E4" i="66"/>
  <c r="D6" i="87"/>
  <c r="D95" i="87" s="1"/>
  <c r="A2" i="70"/>
  <c r="B1" i="2"/>
  <c r="C161" i="1"/>
  <c r="B8" i="76"/>
  <c r="E8" i="76" s="1"/>
  <c r="C33" i="61"/>
  <c r="E33" i="61"/>
  <c r="E6" i="76"/>
  <c r="P19" i="94"/>
  <c r="N21" i="94"/>
  <c r="R19" i="94"/>
  <c r="Q19" i="94"/>
  <c r="R21" i="94" l="1"/>
  <c r="N23" i="94"/>
  <c r="P21" i="94"/>
  <c r="Q21" i="94"/>
  <c r="E6" i="87"/>
  <c r="E95" i="87" s="1"/>
  <c r="E6" i="63"/>
  <c r="E6" i="64" s="1"/>
  <c r="C8" i="131"/>
  <c r="C4" i="73"/>
  <c r="C97" i="1"/>
  <c r="C8" i="130"/>
  <c r="C8" i="132"/>
  <c r="C6" i="77"/>
  <c r="E4" i="61" l="1"/>
  <c r="C4" i="61"/>
  <c r="E4" i="73"/>
  <c r="R23" i="94"/>
  <c r="N25" i="94"/>
  <c r="P23" i="94"/>
  <c r="Q23" i="94"/>
  <c r="C97" i="132"/>
  <c r="C97" i="131"/>
  <c r="C97" i="130"/>
  <c r="Q25" i="94" l="1"/>
  <c r="P25" i="94"/>
  <c r="R25" i="94"/>
  <c r="N27" i="94"/>
  <c r="P27" i="94" l="1"/>
  <c r="Q27" i="94"/>
  <c r="N29" i="94"/>
  <c r="R27" i="94"/>
  <c r="Q29" i="94" l="1"/>
  <c r="R29" i="94"/>
  <c r="P29" i="94"/>
  <c r="N31" i="94"/>
  <c r="R31" i="94" l="1"/>
  <c r="Q31" i="94"/>
  <c r="P31" i="94"/>
</calcChain>
</file>

<file path=xl/sharedStrings.xml><?xml version="1.0" encoding="utf-8"?>
<sst xmlns="http://schemas.openxmlformats.org/spreadsheetml/2006/main" count="1169" uniqueCount="711">
  <si>
    <t>Beruházási (felhalmozási) kiadások előirányzata beruházásonként</t>
  </si>
  <si>
    <t>Felújítási kiadások előirányzata felújításonként</t>
  </si>
  <si>
    <t>Adatszolgáltatás 
az elismert tartozásállományról</t>
  </si>
  <si>
    <t>Többéves kihatással járó döntések számszerűsítése évenkénti bontásban és összesítve célok szerint</t>
  </si>
  <si>
    <t>Működési célú finanszírozási kiadások
(hiteltörlesztés, értékpapír vásárlás, stb.)</t>
  </si>
  <si>
    <t>Felhalmozási célú finanszírozási kiadások
(hiteltörlesztés, értékpapír vásárlás, stb.)</t>
  </si>
  <si>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</si>
  <si>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</si>
  <si>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</si>
  <si>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>Felhalmozási bevételek</t>
  </si>
  <si>
    <t>Finanszírozási bevételek</t>
  </si>
  <si>
    <t xml:space="preserve"> Egyéb működési célú kiadások</t>
  </si>
  <si>
    <t>Finanszírozási kiadások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</si>
  <si>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</si>
  <si>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</si>
  <si>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</si>
  <si>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</si>
  <si>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</si>
  <si>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</si>
  <si>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</si>
  <si>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</si>
  <si>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</si>
  <si>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</si>
  <si>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</si>
  <si>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</si>
  <si>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</si>
  <si>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</si>
  <si>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</si>
  <si>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</si>
  <si>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</si>
  <si>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</si>
  <si>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</si>
  <si>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</si>
  <si>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</si>
  <si>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</si>
  <si>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</si>
  <si>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</si>
  <si>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</si>
  <si>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</si>
  <si>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</si>
  <si>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</si>
  <si>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</si>
  <si>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</si>
  <si>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K I A D Á S O K</t>
  </si>
  <si>
    <t>Kiadási jogcímek</t>
  </si>
  <si>
    <t>Személyi  juttatások</t>
  </si>
  <si>
    <t>Összesen</t>
  </si>
  <si>
    <t>Jogcím</t>
  </si>
  <si>
    <t>Összesen:</t>
  </si>
  <si>
    <t>Előirányzat</t>
  </si>
  <si>
    <t>Bevételek</t>
  </si>
  <si>
    <t>Kiadások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</si>
  <si>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</si>
  <si>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</si>
  <si>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</si>
  <si>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</si>
  <si>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</si>
  <si>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</si>
  <si>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</si>
  <si>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Kiadás vonzata évenként</t>
  </si>
  <si>
    <t>Sor-
szám</t>
  </si>
  <si>
    <t>............................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</si>
  <si>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</si>
  <si>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</si>
  <si>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</si>
  <si>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</si>
  <si>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</si>
  <si>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</si>
  <si>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</si>
  <si>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</si>
  <si>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</si>
  <si>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</si>
  <si>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</si>
  <si>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</si>
  <si>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</si>
  <si>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</si>
  <si>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Kötelezettség jogcíme</t>
  </si>
  <si>
    <t>Köt. váll.
 éve</t>
  </si>
  <si>
    <t>Bevételek összesen:</t>
  </si>
  <si>
    <t>Kiadások összesen:</t>
  </si>
  <si>
    <t>Egyenleg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</si>
  <si>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</si>
  <si>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</si>
  <si>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</si>
  <si>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</si>
  <si>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</si>
  <si>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Támogatott szervezet neve</t>
  </si>
  <si>
    <t>Támogatás célja</t>
  </si>
  <si>
    <t>Források</t>
  </si>
  <si>
    <t>Saját erő</t>
  </si>
  <si>
    <t>EU-s forrás</t>
  </si>
  <si>
    <t>Hitel</t>
  </si>
  <si>
    <t>Egyéb forrás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</si>
  <si>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</si>
  <si>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</si>
  <si>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</si>
  <si>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</si>
  <si>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</si>
  <si>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</si>
  <si>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</si>
  <si>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</si>
  <si>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Összesen (1+4+7+9+11)</t>
  </si>
  <si>
    <t>Társfinanszírozás</t>
  </si>
  <si>
    <t>Költségvetési rendelet űrlapjainak összefüggései:</t>
  </si>
  <si>
    <t>1. sz. táblázat</t>
  </si>
  <si>
    <t>2.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</si>
  <si>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</si>
  <si>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</si>
  <si>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</si>
  <si>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</si>
  <si>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</si>
  <si>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</si>
  <si>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</si>
  <si>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</si>
  <si>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</si>
  <si>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</si>
  <si>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</si>
  <si>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</si>
  <si>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</si>
  <si>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</si>
  <si>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Költségvetési hiány:</t>
  </si>
  <si>
    <t>Költségvetési többlet:</t>
  </si>
  <si>
    <t>Közhatalmi bevételek</t>
  </si>
  <si>
    <t>Munkaadókat terhelő járulékok és szociális hozzájárulási adó</t>
  </si>
  <si>
    <t>Ellátottak pénzbeli juttatásai</t>
  </si>
  <si>
    <t>Egyéb működési célú kiadások</t>
  </si>
  <si>
    <t>Felújítások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</si>
  <si>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</si>
  <si>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</si>
  <si>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</si>
  <si>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</si>
  <si>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</si>
  <si>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Bevételi jogcímek</t>
  </si>
  <si>
    <t>MEGNEVEZÉS</t>
  </si>
  <si>
    <t>ÖSSZES KÖTELEZETTSÉG</t>
  </si>
  <si>
    <t>SAJÁT BEVÉTELEK ÖSSZESEN*</t>
  </si>
  <si>
    <t>Fejlesztési cél leírása</t>
  </si>
  <si>
    <t>Nem kötelező!</t>
  </si>
  <si>
    <t>Beruházási kiadások beruházásonként</t>
  </si>
  <si>
    <t>Felújítási kiadások felújításonként</t>
  </si>
  <si>
    <t>Egyéb (Pl.: garancia és kezességvállalás, stb.)</t>
  </si>
  <si>
    <t>Költségvetési szerv neve:</t>
  </si>
  <si>
    <t>Költségvetési szerv számlaszáma: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</si>
  <si>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</si>
  <si>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</si>
  <si>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</si>
  <si>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</si>
  <si>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</si>
  <si>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</si>
  <si>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</si>
  <si>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</si>
  <si>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</si>
  <si>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</si>
  <si>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</si>
  <si>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költségvetési szerv vezetője</t>
  </si>
  <si>
    <t>Fejlesztés várható kiadása</t>
  </si>
  <si>
    <t>*Az adósságot keletkeztető ügyletekhez történő hozzájárulás részletes szabályairól szóló 353/2011. (XII.31.) Korm. Rendelet 2.§ (1) bekezdése alapján.</t>
  </si>
  <si>
    <t>Beruházások</t>
  </si>
  <si>
    <t>Egyéb felhalmozási kiadások</t>
  </si>
  <si>
    <t xml:space="preserve">Dologi kiadások </t>
  </si>
  <si>
    <t>Kölcsön törlesztése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</si>
  <si>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</si>
  <si>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</si>
  <si>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</si>
  <si>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</si>
  <si>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</si>
  <si>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</si>
  <si>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</si>
  <si>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</si>
  <si>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</si>
  <si>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</si>
  <si>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Hiány belső finanszírozás bevételei ( 14+…+18)</t>
  </si>
  <si>
    <t>Az önkormányzati vagyon és az önkormányzatot megillető vagyoni értékű jog értékesítéséből és hasznosításából származó bevétel</t>
  </si>
  <si>
    <t>Bírság-, pótlék- és díjbevétel</t>
  </si>
  <si>
    <t>Tárgyi eszköz és az immateriális jószág, részvény, részesedés, vállalat értékesítéséből vagy privatizációból származó bevétel</t>
  </si>
  <si>
    <t>Évek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</si>
  <si>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</si>
  <si>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</si>
  <si>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</si>
  <si>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</si>
  <si>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</si>
  <si>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</si>
  <si>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</si>
  <si>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</si>
  <si>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</si>
  <si>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</si>
  <si>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Gépjárműadó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</si>
  <si>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</si>
  <si>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</si>
  <si>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</si>
  <si>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</si>
  <si>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</si>
  <si>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</si>
  <si>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</si>
  <si>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Egyéb pénzügyi műveletek bevételei</t>
  </si>
  <si>
    <t>Egyéb működési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</si>
  <si>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</si>
  <si>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</si>
  <si>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</si>
  <si>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</si>
  <si>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</si>
  <si>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garancia- és kezességvállalásból megtérülések ÁH-n kívülről</t>
  </si>
  <si>
    <t>Egyéb működési célú átvett pénzeszköz</t>
  </si>
  <si>
    <t>Felhalm. célú garancia- és kezességvállalásból megtérülések ÁH-n kívülről</t>
  </si>
  <si>
    <t>Egyéb felhalmozási célú átvett pénzeszköz</t>
  </si>
  <si>
    <t>Hosszú lejáratú  hitelek, kölcsönök felvétele</t>
  </si>
  <si>
    <t>Likviditási célú  hitelek, kölcsönök felvétele pénzügyi vállalkozástól</t>
  </si>
  <si>
    <t>Forgatási célú belföldi értékpapírok beváltása,  értékesítése</t>
  </si>
  <si>
    <t>Befektetési célú belföldi értékpapírok beváltása,  értékesítése</t>
  </si>
  <si>
    <t>Előző év költségvetési maradványának igénybevétele</t>
  </si>
  <si>
    <t>Előző év vállalkozási maradványának igénybevétele</t>
  </si>
  <si>
    <t>Államháztartáson belüli megelőlegezések</t>
  </si>
  <si>
    <t>Államháztartáson belüli megelőlegezések törlesztése</t>
  </si>
  <si>
    <t>Forgatási célú külföldi értékpapírok beváltása,  értékesítése</t>
  </si>
  <si>
    <t>Befektetési célú külföldi értékpapírok beváltása,  értékesítése</t>
  </si>
  <si>
    <t>Külföldi értékpapírok kibocsátása</t>
  </si>
  <si>
    <t>Külföldi hitelek, kölcsönök felvétele</t>
  </si>
  <si>
    <t>Adóssághoz nem kapcsolódó származékos ügyletek bevételei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</si>
  <si>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</si>
  <si>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</si>
  <si>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</si>
  <si>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</si>
  <si>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</si>
  <si>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</si>
  <si>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</si>
  <si>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</si>
  <si>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</si>
  <si>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</si>
  <si>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</si>
  <si>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</si>
  <si>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</si>
  <si>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</si>
  <si>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Államháztartáson belüli megelőlegezések folyósítása</t>
  </si>
  <si>
    <t>Államháztartáson belüli megelőlegezések visszafizetése</t>
  </si>
  <si>
    <t>KÖLTSÉGVETÉSI, FINANSZÍROZÁSI BEVÉTELEK ÉS KIADÁSOK EGYENLEGE</t>
  </si>
  <si>
    <t>Működési célú támogatások államháztartáson belülről</t>
  </si>
  <si>
    <t>Működési célú átvett pénzeszközök</t>
  </si>
  <si>
    <t>Hiány belső finanszírozásának bevételei (15.+…+18. )</t>
  </si>
  <si>
    <t>Likviditási célú hitelek törlesztése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</si>
  <si>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</si>
  <si>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</si>
  <si>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</si>
  <si>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</si>
  <si>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Egyéb felhalmozási célú bevételek</t>
  </si>
  <si>
    <t>1.-ből EU-s forrásból megvalósuló beruházás</t>
  </si>
  <si>
    <t>3.-ból EU-s forrásból megvalósuló felújítás</t>
  </si>
  <si>
    <t>Pénzügyi lízing kiadásai</t>
  </si>
  <si>
    <t>BEVÉTEL ÖSSZESEN (12+25)</t>
  </si>
  <si>
    <t>KIADÁSOK ÖSSZESEN (12+25)</t>
  </si>
  <si>
    <t>Felhalmozási célú átvett pénzeszközök</t>
  </si>
  <si>
    <t>Működési célú támogatások ÁH-on belül</t>
  </si>
  <si>
    <t>Felhalmozási célú támogatások ÁH-on belül</t>
  </si>
  <si>
    <t>Működési bevételek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</si>
  <si>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</si>
  <si>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</si>
  <si>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</si>
  <si>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</si>
  <si>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</si>
  <si>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</si>
  <si>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 xml:space="preserve">Működési célú kvi támogatások és kiegészítő támogatások </t>
  </si>
  <si>
    <t>Elszámolásból származó bevételek</t>
  </si>
  <si>
    <t>Biztosító által fizetett kártérítés</t>
  </si>
  <si>
    <t xml:space="preserve">   - Törvényi előíráson alapuló befizetések</t>
  </si>
  <si>
    <t>KÖLTSÉGVETÉSI KIADÁSOK ÖSSZESEN (1+2)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</si>
  <si>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</si>
  <si>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</si>
  <si>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</si>
  <si>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</si>
  <si>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</si>
  <si>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</si>
  <si>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</si>
  <si>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</si>
  <si>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Forgatási célú belföldi értékpapírok vásárlása</t>
  </si>
  <si>
    <t>Forgatási célú külföldi értékpapírok vásárlása</t>
  </si>
  <si>
    <t>Külföldi értékpapírok beváltása</t>
  </si>
  <si>
    <t>Pénzeszközök lekötött betétként elhelyezése</t>
  </si>
  <si>
    <t>Befektetési célú külföldi értékpapírok vásárlása</t>
  </si>
  <si>
    <t>Hitelek, kölcsönök törlesztése külföldi pénzintézeteknek</t>
  </si>
  <si>
    <t>Adóssághoz nem kapcsolódó származékos ügyletek</t>
  </si>
  <si>
    <t>Váltókiadások</t>
  </si>
  <si>
    <t>Váltóbevételek</t>
  </si>
  <si>
    <t>A</t>
  </si>
  <si>
    <t>B</t>
  </si>
  <si>
    <t>C</t>
  </si>
  <si>
    <t>E</t>
  </si>
  <si>
    <t>D</t>
  </si>
  <si>
    <t>F</t>
  </si>
  <si>
    <t>G</t>
  </si>
  <si>
    <t>H</t>
  </si>
  <si>
    <t>I=(D+E+F+G+H)</t>
  </si>
  <si>
    <t>Összesen
(F=C+D+E)</t>
  </si>
  <si>
    <t>Helyi adóból és a települési adóból származó bevétel</t>
  </si>
  <si>
    <t>Osztalék, koncessziós díj és hozambevétel</t>
  </si>
  <si>
    <t>Kezesség-, illetve garanciavállalással kapcsolatos megtérülés</t>
  </si>
  <si>
    <t>Hitelek, kölcsönök törlesztése külföldi kormányoknak nemz. szervezeteknek</t>
  </si>
  <si>
    <t xml:space="preserve">Felhalmozási célú átvett pénzeszközök </t>
  </si>
  <si>
    <t xml:space="preserve">Működési célú átvett pénzeszközök </t>
  </si>
  <si>
    <t xml:space="preserve">Működési bevételek </t>
  </si>
  <si>
    <t xml:space="preserve">FINANSZÍROZÁSI BEVÉTELEK ÖSSZESEN: </t>
  </si>
  <si>
    <t>FINANSZÍROZÁSI KIADÁSOK ÖSSZESEN:</t>
  </si>
  <si>
    <t>Építményadó</t>
  </si>
  <si>
    <t>Iparűzési adó</t>
  </si>
  <si>
    <t>Kamatbevételek és más nyereségjellegű bevételek</t>
  </si>
  <si>
    <t>F=(B-D-E)</t>
  </si>
  <si>
    <t>Forintban!</t>
  </si>
  <si>
    <t>Bruttó  hiány:</t>
  </si>
  <si>
    <t>Bruttó  többlet:</t>
  </si>
  <si>
    <t>Éven belüli lejáratú belföldi értékpapírok kibocsátása</t>
  </si>
  <si>
    <t>Éven túli lejáratú belföldi értékpapírok kibocsátása</t>
  </si>
  <si>
    <t>Lekötött betétek megszüntetése</t>
  </si>
  <si>
    <t>Egyéb felhalmozási célú kiadások</t>
  </si>
  <si>
    <t>ÖSSZEVONT MÉRLEGE</t>
  </si>
  <si>
    <t>KÖTELEZŐ FELADATOK MÉRLEGE</t>
  </si>
  <si>
    <t>ÖNKÉNT VÁLLALT FELADATOK MÉRLEGE</t>
  </si>
  <si>
    <t>ÁLLAMIGAZGATÁSI FELADATOK MÉRLEGE</t>
  </si>
  <si>
    <t>Tartalomjegyzék</t>
  </si>
  <si>
    <t>Ugrás</t>
  </si>
  <si>
    <t>ALAPADATOK</t>
  </si>
  <si>
    <t>KÖLTSÉGVETÉSI RENDLET</t>
  </si>
  <si>
    <t>……………………. Polgármesteri /Közös Önkormányzati Hivatal</t>
  </si>
  <si>
    <t>1. költségvetési szerv neve</t>
  </si>
  <si>
    <t>2. költségvetési szerv neve</t>
  </si>
  <si>
    <t>3. költségvetési szerv neve</t>
  </si>
  <si>
    <t>4. költségvetési szerv neve</t>
  </si>
  <si>
    <t>5. költségvetési szerv neve</t>
  </si>
  <si>
    <t>6. költségvetési szerv neve</t>
  </si>
  <si>
    <t>7. költségvetési szerv neve</t>
  </si>
  <si>
    <t>8. költségvetési szerv neve</t>
  </si>
  <si>
    <t>10. költségvetési szerv neve</t>
  </si>
  <si>
    <t>2 kvi név</t>
  </si>
  <si>
    <t>3 kvi név</t>
  </si>
  <si>
    <t>4 kvi név</t>
  </si>
  <si>
    <t>5 kvi név</t>
  </si>
  <si>
    <t>6 kvi név</t>
  </si>
  <si>
    <t>7 kvi név</t>
  </si>
  <si>
    <t>8 kvi név</t>
  </si>
  <si>
    <t>9 kvi név</t>
  </si>
  <si>
    <t>10 kvi név</t>
  </si>
  <si>
    <t>BEVÉTELEI, KIADÁSAI</t>
  </si>
  <si>
    <t>10</t>
  </si>
  <si>
    <t>11</t>
  </si>
  <si>
    <t>12</t>
  </si>
  <si>
    <t>A dokumentációs rendszerben található táblázatok listája</t>
  </si>
  <si>
    <t>Dokumentum neve</t>
  </si>
  <si>
    <t>Alapadatok</t>
  </si>
  <si>
    <t>Adatok megadása</t>
  </si>
  <si>
    <t>Összefüggések</t>
  </si>
  <si>
    <t>Önkormányzat összevont pénzügyi mérlege összesen</t>
  </si>
  <si>
    <t>1.2. melléklet</t>
  </si>
  <si>
    <t>1.3. melléklet</t>
  </si>
  <si>
    <t xml:space="preserve">Önkormányzat kötelező feladatainak összevont pénzügyi mérlege  </t>
  </si>
  <si>
    <t xml:space="preserve">Önkormányzat önként vállalt feladatainak összevont pénzügyi mérlege  </t>
  </si>
  <si>
    <t>1.4. melléklet</t>
  </si>
  <si>
    <t xml:space="preserve">Önkormányzat államigazgatási feladatainak összevont pénzügyi mérlege  </t>
  </si>
  <si>
    <t>2.1. melléklet</t>
  </si>
  <si>
    <t>Működési célú bevételek, kiadások mérlege</t>
  </si>
  <si>
    <t>2.2. melléklet</t>
  </si>
  <si>
    <t>Felhalmozási célú bevételek, kiadások mérlege</t>
  </si>
  <si>
    <t>Ellenőrző lista</t>
  </si>
  <si>
    <t>Ellenőrzés az 1-es és 2.1., 2.2. mellékletek adati esetében</t>
  </si>
  <si>
    <t>3. melléklet</t>
  </si>
  <si>
    <t>Adósságet keletekeztető ügyletek táblázata</t>
  </si>
  <si>
    <t>4. melléklet</t>
  </si>
  <si>
    <t>Önkormányzat saját bevételeinek bemutatása</t>
  </si>
  <si>
    <t>Az önkormányzat adósságot keletkeztető fejlesztései céljai</t>
  </si>
  <si>
    <t>5. melléklet</t>
  </si>
  <si>
    <t>6. melléklet</t>
  </si>
  <si>
    <t>Beruházások előirányzatai</t>
  </si>
  <si>
    <t>7. melléklet</t>
  </si>
  <si>
    <t>Felújítások előirányzatai</t>
  </si>
  <si>
    <t>8. melléklet</t>
  </si>
  <si>
    <t>EU-s projektek táblázatai</t>
  </si>
  <si>
    <t>9.1. melléklet</t>
  </si>
  <si>
    <t>Önkormányzat bevételei kiadásai (összesen)</t>
  </si>
  <si>
    <t>9.1.1. melléklet</t>
  </si>
  <si>
    <t xml:space="preserve">Önkormányzat kötelező feladatai  </t>
  </si>
  <si>
    <t>9.1.2. melléklet</t>
  </si>
  <si>
    <t xml:space="preserve">Önkormányzat önként vállalt feladatai </t>
  </si>
  <si>
    <t>9.1.3. melléklet</t>
  </si>
  <si>
    <t xml:space="preserve">Önkormányzat államigazgatási feladatai </t>
  </si>
  <si>
    <t>9.2. melléklet</t>
  </si>
  <si>
    <t>Polgármesteri/Közös hivatal költségvetési táblái (9.2.1., 9.2.2., 9.2.3.)</t>
  </si>
  <si>
    <t>9.3. melléklet</t>
  </si>
  <si>
    <t>9.4. melléklet</t>
  </si>
  <si>
    <t>/</t>
  </si>
  <si>
    <t>(</t>
  </si>
  <si>
    <t>)</t>
  </si>
  <si>
    <t>…</t>
  </si>
  <si>
    <t>a</t>
  </si>
  <si>
    <t>önkormányzati rendelethez</t>
  </si>
  <si>
    <t>9.5. melléklet</t>
  </si>
  <si>
    <t>9.6. melléklet</t>
  </si>
  <si>
    <t>9.7. melléklet</t>
  </si>
  <si>
    <t>9.8. melléklet</t>
  </si>
  <si>
    <t>9.9. melléklet</t>
  </si>
  <si>
    <t>9.10. melléklet</t>
  </si>
  <si>
    <t>9.11. melléklet</t>
  </si>
  <si>
    <t>9.12. melléklet</t>
  </si>
  <si>
    <t>10. melléklet</t>
  </si>
  <si>
    <t>1. számú tájékoztató tábla</t>
  </si>
  <si>
    <t>2. számú tájékoztató tábla</t>
  </si>
  <si>
    <t>3. számú tájékoztató tábla</t>
  </si>
  <si>
    <t>4. számú tájékoztató tábla</t>
  </si>
  <si>
    <t>5. számú tájékoztató tábla</t>
  </si>
  <si>
    <t>Adatszolgáltatás az elismert tartozásállományról</t>
  </si>
  <si>
    <t>Az önkormányzat által adott közvetett támogatások (kedvezmények)</t>
  </si>
  <si>
    <t>Európai uniós támogatással megvalósuló projektek</t>
  </si>
  <si>
    <t>Előterjesztéskor</t>
  </si>
  <si>
    <t>Táblázatok adatainak összefüggései</t>
  </si>
  <si>
    <t>Támogatási szerződés szerinti bevételek, kiadások</t>
  </si>
  <si>
    <t xml:space="preserve">Összesen: </t>
  </si>
  <si>
    <t>1 kvi név</t>
  </si>
  <si>
    <t>Telekadó</t>
  </si>
  <si>
    <t>Támogatás összege</t>
  </si>
  <si>
    <t>.</t>
  </si>
  <si>
    <t xml:space="preserve">Önkormányzaton kívüli EU-s projekthez történő hozzájárulás </t>
  </si>
  <si>
    <t>Évenkénti ütemezés</t>
  </si>
  <si>
    <t>B=(C+D+E)</t>
  </si>
  <si>
    <t xml:space="preserve">* Amennyiben több projekt megvalósítása történi egy időben akkor azokat külön-külön, projektenként be kell mutatni!  </t>
  </si>
  <si>
    <t xml:space="preserve">Talajterhelési díj </t>
  </si>
  <si>
    <t>Kelt,………….…..</t>
  </si>
  <si>
    <t xml:space="preserve">* Magyarország gazdasági stabilitásáról szóló 2011. évi CXCIV. törvény 8. § (2) bekezdése szerinti adósságot keletkezető ügyletek.
</t>
  </si>
  <si>
    <t>ADÓSSÁGOT KELETKEZTETŐ ÜGYLETEK VÁRHATÓ EGYÜTTES ÖSSZEGE*</t>
  </si>
  <si>
    <t xml:space="preserve">1. melléklet </t>
  </si>
  <si>
    <t>9</t>
  </si>
  <si>
    <t>2</t>
  </si>
  <si>
    <t>3</t>
  </si>
  <si>
    <t>4</t>
  </si>
  <si>
    <t>5</t>
  </si>
  <si>
    <t>6</t>
  </si>
  <si>
    <t>7</t>
  </si>
  <si>
    <t>13</t>
  </si>
  <si>
    <t>14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</si>
  <si>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</si>
  <si>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</si>
  <si>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</si>
  <si>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</si>
  <si>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</si>
  <si>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</si>
  <si>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</si>
  <si>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</si>
  <si>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</si>
  <si>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</si>
  <si>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</si>
  <si>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</si>
  <si>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</si>
  <si>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8</t>
  </si>
  <si>
    <t>15</t>
  </si>
  <si>
    <t>22</t>
  </si>
  <si>
    <t>30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</si>
  <si>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</si>
  <si>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</si>
  <si>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</si>
  <si>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</si>
  <si>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</si>
  <si>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</si>
  <si>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</si>
  <si>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</si>
  <si>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</si>
  <si>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</si>
  <si>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</si>
  <si>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</si>
  <si>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</si>
  <si>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</si>
  <si>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</si>
  <si>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</si>
  <si>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</si>
  <si>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</si>
  <si>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</si>
  <si>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</si>
  <si>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55</t>
  </si>
  <si>
    <t>56</t>
  </si>
  <si>
    <t>57</t>
  </si>
  <si>
    <t>58</t>
  </si>
  <si>
    <t>61</t>
  </si>
  <si>
    <t>62</t>
  </si>
  <si>
    <t>63</t>
  </si>
  <si>
    <t>65</t>
  </si>
  <si>
    <t>66</t>
  </si>
  <si>
    <t>67</t>
  </si>
  <si>
    <t>68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</si>
  <si>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</si>
  <si>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</si>
  <si>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</si>
  <si>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</si>
  <si>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</si>
  <si>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</si>
  <si>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</si>
  <si>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</si>
  <si>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</si>
  <si>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</si>
  <si>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</si>
  <si>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</si>
  <si>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</si>
  <si>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</si>
  <si>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14-ből EU-s támogatás</t>
  </si>
  <si>
    <t>Felhalmozási célú támogatások államháztartáson belülről (17+…+21)</t>
  </si>
  <si>
    <t>Közhatalmi bevételek (24+…+30)</t>
  </si>
  <si>
    <t>Működési bevételek (32+…+ 42)</t>
  </si>
  <si>
    <t>Felhalmozási bevételek (44+…+48)</t>
  </si>
  <si>
    <t>Külföldi finanszírozás bevételei (77+…+80)</t>
  </si>
  <si>
    <t>KÖLTSÉGVETÉSI ÉS FINANSZÍROZÁSI BEVÉTELEK ÖSSZESEN: (59+83)</t>
  </si>
  <si>
    <t>31</t>
  </si>
  <si>
    <t>KÖLTSÉGVETÉSI KIADÁSOK ÖSSZESEN (1+22)</t>
  </si>
  <si>
    <t>FINANSZÍROZÁSI KIADÁSOK ÖSSZESEN: (37+41+48+53+59+60)</t>
  </si>
  <si>
    <t>25-ből EU-s forrásból megvalósuló felújítás</t>
  </si>
  <si>
    <t>Költségvetési hiány, többlet ( költségvetési bevételek 59. sor - költségvetési kiadások 36. sor) (+/-)</t>
  </si>
  <si>
    <t>Önkormányzat működési támogatásai (2+…+.9)</t>
  </si>
  <si>
    <t>Működési célú átvett pénzeszközök (50+ … + 52)</t>
  </si>
  <si>
    <t>Felhalmozási célú átvett pénzeszközök (55+…+57)</t>
  </si>
  <si>
    <t>KÖLTSÉGVETÉSI BEVÉTELEK ÖSSZESEN: (1+16+23+31+43+49+54)</t>
  </si>
  <si>
    <t>Hitel-, kölcsönfelvétel államháztartáson kívülről  (61+…+63)</t>
  </si>
  <si>
    <t>Belföldi értékpapírok bevételei (65 +…+ 68)</t>
  </si>
  <si>
    <t>Maradvány igénybevétele (70 + 71)</t>
  </si>
  <si>
    <t>Belföldi finanszírozás bevételei (73 + … + 75)</t>
  </si>
  <si>
    <t>FINANSZÍROZÁSI BEVÉTELEK ÖSSZESEN: (60 + 64+69+72+76+81+82)</t>
  </si>
  <si>
    <t xml:space="preserve">   - Egyéb elvonások, befizetések</t>
  </si>
  <si>
    <t xml:space="preserve">   - Tartalékok</t>
  </si>
  <si>
    <r>
      <t xml:space="preserve">   Működési költségvetés kiadásai </t>
    </r>
    <r>
      <rPr>
        <sz val="8"/>
        <rFont val="Times New Roman CE"/>
        <charset val="238"/>
      </rPr>
      <t>(2+…+6)</t>
    </r>
  </si>
  <si>
    <t xml:space="preserve">         - a 19-ből:             - Általános tartalék</t>
  </si>
  <si>
    <r>
      <t xml:space="preserve">   Felhalmozási költségvetés kiadásai </t>
    </r>
    <r>
      <rPr>
        <sz val="8"/>
        <rFont val="Times New Roman CE"/>
        <charset val="238"/>
      </rPr>
      <t>(23+25+27)</t>
    </r>
  </si>
  <si>
    <t>Hitel-, kölcsöntörlesztés államháztartáson kívülre (38+ … + 40)</t>
  </si>
  <si>
    <t>Belföldi értékpapírok kiadásai (42+ … + 47)</t>
  </si>
  <si>
    <t>Belföldi finanszírozás kiadásai (49+ … + 52)</t>
  </si>
  <si>
    <t>Külföldi finanszírozás kiadásai (54+ … + 58)</t>
  </si>
  <si>
    <t>KIADÁSOK ÖSSZESEN: (36.+61)</t>
  </si>
  <si>
    <t>1</t>
  </si>
  <si>
    <t>Önkormányzatok gyermekétkeztetési feladatainak támogatása</t>
  </si>
  <si>
    <t>23-ból EU-s forrásból megvalósuló beruházás</t>
  </si>
  <si>
    <t>Rövid lejáratú  hitelek, kölcsönök felvétele pénzügyi vállalkozástól</t>
  </si>
  <si>
    <t xml:space="preserve">                                       - Céltartalék</t>
  </si>
  <si>
    <t>27-ből           - Garancia- és kezességvállalásból kifizetés ÁH-n belülre</t>
  </si>
  <si>
    <t xml:space="preserve">   21-ből EU-s támogatás</t>
  </si>
  <si>
    <t xml:space="preserve">  52-ből EU-s támogatás (közvetlen)</t>
  </si>
  <si>
    <t xml:space="preserve">  57-ből EU-s támogatás (közvetlen)</t>
  </si>
  <si>
    <t xml:space="preserve">   - a 6-ból:       - Előző évi elszámolásból származó befizetések</t>
  </si>
  <si>
    <t>Az 5-ből      -Tartalékok</t>
  </si>
  <si>
    <t>KÖLTSÉGVETÉSI BEVÉTELEK ÖSSZESEN: (1+2+3+11…+14)</t>
  </si>
  <si>
    <t>KÖLTSÉGVETÉSI ÉS FINANSZÍROZÁSI BEVÉTELEK ÖSSZESEN: (15+16)</t>
  </si>
  <si>
    <t>KIADÁSOK ÖSSZESEN: (6+47)</t>
  </si>
  <si>
    <t xml:space="preserve"> Felhalmozási költségvetés kiadásai (3+4+5)</t>
  </si>
  <si>
    <t xml:space="preserve"> Működési költségvetés kiadásai </t>
  </si>
  <si>
    <t>Költségvetési bevételek összesen (1+3+4+5+7+…+12.)</t>
  </si>
  <si>
    <t xml:space="preserve">Hiány külső finanszírozásának bevételei (20+…+21) </t>
  </si>
  <si>
    <t>Működési célú finanszírozási bevételek összesen (14+19+22+23)</t>
  </si>
  <si>
    <t>BEVÉTEL ÖSSZESEN (13+24)</t>
  </si>
  <si>
    <t>Költségvetési kiadások összesen (1+...+8+10+…12)</t>
  </si>
  <si>
    <t>Működési célú finanszírozási kiadások összesen (14+...+23)</t>
  </si>
  <si>
    <t>KIADÁSOK ÖSSZESEN (13+24)</t>
  </si>
  <si>
    <t>Költségvetési bevételek összesen: (1+3+4+6+…+11)</t>
  </si>
  <si>
    <t>Felhalmozási célú finanszírozási bevételek összesen (13+19)</t>
  </si>
  <si>
    <t>Költségvetési kiadások összesen: (1+3+5+...+11)</t>
  </si>
  <si>
    <t>Felhalmozási célú finanszírozási kiadások összesen
(13+...+24)</t>
  </si>
  <si>
    <t xml:space="preserve"> Költségvetési maradvány igénybevétele </t>
  </si>
  <si>
    <t xml:space="preserve"> Vállalkozási maradvány igénybevétele </t>
  </si>
  <si>
    <t xml:space="preserve"> Betét visszavonásából származó bevétel </t>
  </si>
  <si>
    <t>1.-ból EU-s támogatás</t>
  </si>
  <si>
    <t>5.-ból EU-s támogatás (közvetlen)</t>
  </si>
  <si>
    <t>Működési célú támogatások államháztartáson belülről (10+…+11+…+14)</t>
  </si>
  <si>
    <t>Finanszírozási bevételek, kiadások egyenlege (finanszírozási bevételek 83. sor - finanszírozási kiadások 61. sor)
 (+/-)</t>
  </si>
  <si>
    <t>bevételei, kiadásai</t>
  </si>
  <si>
    <t>KV_11.sz.mell!A1</t>
  </si>
  <si>
    <t>KV_12.sz.mell!A1</t>
  </si>
  <si>
    <t>11. melléklet</t>
  </si>
  <si>
    <t>12. melléklet</t>
  </si>
  <si>
    <t>KV_1.1.sz.mell. Bevételek táblázat B oszlop 59 sora =</t>
  </si>
  <si>
    <t>KV_1.1.sz.mell. Bevételek táblázat B oszlop 83 sora =</t>
  </si>
  <si>
    <t>KV_1.1.sz.mell. Bevételek táblázat B oszlop 84 sora =</t>
  </si>
  <si>
    <t>KV_1.1.sz.mell. Kiadások táblázat B oszlop 36 sora =</t>
  </si>
  <si>
    <t>KV_1.1.sz.mell. Kiadások táblázat B oszlop 62 sora =</t>
  </si>
  <si>
    <t>KV_1.1.sz.mell. Kiadások táblázat B oszlop 61 sora =</t>
  </si>
  <si>
    <t xml:space="preserve">KV_2.1.sz.mell. táblázat B oszlop 13 sor + KV_2.2.sz.mell. táblázat B oszlop 12 sor </t>
  </si>
  <si>
    <t xml:space="preserve">KV_2.1.sz.mell. táblázat B oszlop 24 sor + KV_2.2.sz.mell. táblázat B oszlop 25 sor </t>
  </si>
  <si>
    <t xml:space="preserve">KV_2.1.sz.mell. táblázat B oszlop 25 sor + KV_2.2.sz.mell. táblázat B oszlop 26 sor </t>
  </si>
  <si>
    <t xml:space="preserve">KV_2.1.sz.mell. táblázat D oszlop 13 sor + KV_2.2.sz.mell. táblázat D oszlop 12 sor </t>
  </si>
  <si>
    <t xml:space="preserve">KV_2.1.sz.mell. táblázat D oszlop 24 sor + KV_2.2.sz.mell. táblázat D oszlop 25 sor </t>
  </si>
  <si>
    <t xml:space="preserve">KV_2.1.sz.mell. táblázat D oszlop 25 sor + KV_2.2.sz.mell. táblázat D oszlop 26 sor </t>
  </si>
  <si>
    <t>Közhatalmi bevételek (4….+7……10)</t>
  </si>
  <si>
    <t>A projrktre jóváhagyott összes
 bevétel, kiadás</t>
  </si>
  <si>
    <t>Mellékletben külön!</t>
  </si>
  <si>
    <t>ELLENŐRZÉS_KV!A1</t>
  </si>
  <si>
    <t>2024. évi XC.
törvény 2.  melléklete száma</t>
  </si>
  <si>
    <t>* Magyarország 2025. évi központi költségvetéséról szóló törvény</t>
  </si>
  <si>
    <t>Alsónyék Község Önkormányzata</t>
  </si>
  <si>
    <t>Nem</t>
  </si>
  <si>
    <t>Magánszemélyek kommunális adója</t>
  </si>
  <si>
    <t>Egyéb közhatalmi bevételek</t>
  </si>
  <si>
    <t>2023-2024</t>
  </si>
  <si>
    <t>Térfigyelő kamera elhelyezése</t>
  </si>
  <si>
    <t>2025</t>
  </si>
  <si>
    <t>Napelemes oszloplámpatestek</t>
  </si>
  <si>
    <t>Alsónyék Község Önkormányzat</t>
  </si>
  <si>
    <t>1.1.1.2.</t>
  </si>
  <si>
    <t>Településüzemeltetés - zöldterület-gazdálkodás támogatása</t>
  </si>
  <si>
    <t>1.1.1.3.1</t>
  </si>
  <si>
    <t>Településüzemeltetés - közvilágítás támogatása</t>
  </si>
  <si>
    <t>1.1.1.3.2</t>
  </si>
  <si>
    <t>Településüzemeltetés - közvilágítás üzemeltetés</t>
  </si>
  <si>
    <t>1.1.1.4.</t>
  </si>
  <si>
    <t>Településüzemeltetés - köztemető támogatása</t>
  </si>
  <si>
    <t>1.1.1.5.</t>
  </si>
  <si>
    <t>Településüzemeltetés - közutak támogatása</t>
  </si>
  <si>
    <t>1.1.1.6.</t>
  </si>
  <si>
    <t>Egyéb önkormányzati feladatok támogatása</t>
  </si>
  <si>
    <t>1.1.1.7.</t>
  </si>
  <si>
    <t>Lakott külterülettel kapcsolatos feladatok támogatása</t>
  </si>
  <si>
    <t>1.1.4.</t>
  </si>
  <si>
    <t>Polgármesteri illetményhez és költségtérítéshez nyújtott támogatás</t>
  </si>
  <si>
    <t>1.1.</t>
  </si>
  <si>
    <t>A települési önkormányzatok működésének általános támogatása</t>
  </si>
  <si>
    <t>1.3.2.3.1.</t>
  </si>
  <si>
    <t>Szociális étkeztetés - önálló feladatellátás</t>
  </si>
  <si>
    <t>1.3.2.5.</t>
  </si>
  <si>
    <t>Falugondnoki szolgáltatás</t>
  </si>
  <si>
    <t>1.3.2.6.2.</t>
  </si>
  <si>
    <t>Időskorúak nappali intézményi ellátása - társulás által történő feladatellátás</t>
  </si>
  <si>
    <t>1.3.2.3-1.3.2.15</t>
  </si>
  <si>
    <t>Szociális feladatellátás</t>
  </si>
  <si>
    <t>1.4.1.1.</t>
  </si>
  <si>
    <t>Intézményi gyermekétkeztetés - bértámogatás</t>
  </si>
  <si>
    <t>1.4.1.2.</t>
  </si>
  <si>
    <t>Intézményi gyermekétkeztetés - üzemeltetési támogatás</t>
  </si>
  <si>
    <t>1.4.2.</t>
  </si>
  <si>
    <t>Szünidei étkeztetés támogatása</t>
  </si>
  <si>
    <t>1.4.</t>
  </si>
  <si>
    <t>A települési önkormányzatok gyermekétkeztetési feladatainak támogatása</t>
  </si>
  <si>
    <t>1.5.2.</t>
  </si>
  <si>
    <t>Települési önkormányzatok egyes kulturális feladatainak támogatása</t>
  </si>
  <si>
    <t>1.5.</t>
  </si>
  <si>
    <t>A települési önkormányzatok kulturális feladatainak támogatása</t>
  </si>
  <si>
    <t>Támogatásértékű működési célú kiadások ÁH-n belülre</t>
  </si>
  <si>
    <t>Bátaszék és Környéke Egészségügyi, Szociális és Gyermekjóléti Intézmény–fenntartó Társulás</t>
  </si>
  <si>
    <t>Mikrotérségi Óvoda és Bölcsőde Intézmény-fenntartó Társulás</t>
  </si>
  <si>
    <t>Bátaszéki Közös Önkormányzati Hivatal</t>
  </si>
  <si>
    <t>Bursa ösztöndíj</t>
  </si>
  <si>
    <t>Házi segítségnyújtás</t>
  </si>
  <si>
    <t>Munkaszervezet</t>
  </si>
  <si>
    <t>Családsegítés</t>
  </si>
  <si>
    <t>Működés</t>
  </si>
  <si>
    <t>Étkzetetés</t>
  </si>
  <si>
    <t>Támogatás</t>
  </si>
  <si>
    <t>Működési célú pénzeszközátadás ÁH-n kívülre</t>
  </si>
  <si>
    <t>Bátaszéki Önkéntes Tűzoltóság Köztestület</t>
  </si>
  <si>
    <t>Bátaszék Város Polgárőr Egyesület</t>
  </si>
  <si>
    <t>Köztemető fenntartás-és működtetés</t>
  </si>
  <si>
    <t>Alsónyéki Népi Hagyományőrző Alapítvány</t>
  </si>
  <si>
    <t>Ős-Szellemiség Egyesület tagdíj</t>
  </si>
  <si>
    <t>Magyar Galambtenyésztők Egyesülete</t>
  </si>
  <si>
    <t>EU-s projekt neve, azonosítója: VP6-7.2.1.1-21 Külterületi helyi közutak fejlesztése</t>
  </si>
  <si>
    <t>Forintban</t>
  </si>
  <si>
    <t>VP6-7.2.1.1-21 Külterületi helyi közutak fejlesztése</t>
  </si>
  <si>
    <t>2023</t>
  </si>
  <si>
    <t>11746005-15417770</t>
  </si>
  <si>
    <t>Éves eredeti kiadási előirányzat: 220 945 189 Ft</t>
  </si>
  <si>
    <t>30 napon túli elismert tartozásállomány összesen: 0 Ft</t>
  </si>
  <si>
    <t>Véglegesen átvett pénzeszköz megnevezése</t>
  </si>
  <si>
    <t>2025. évi eredeti előirányzat</t>
  </si>
  <si>
    <t>Támogatásértékű működési bevételek (2+4+7+9+11+13)</t>
  </si>
  <si>
    <t>NEAK-től átvett pénzeszköz</t>
  </si>
  <si>
    <t>EU-s támogatásból származó bevétel</t>
  </si>
  <si>
    <t>Elkülönített állami pénzalapoktól átvett pénzeszköz</t>
  </si>
  <si>
    <t>Közfoglalkoztatásra átvett</t>
  </si>
  <si>
    <t>Társulások és költségvetési szerveik</t>
  </si>
  <si>
    <t>Támogatás értékű bevétel központi költségvetési szervtől</t>
  </si>
  <si>
    <t>Támogatás értékű bevétel önkormányzattól</t>
  </si>
  <si>
    <t xml:space="preserve">Támogatásértékű felhalmozási bevételek </t>
  </si>
  <si>
    <t>Önkormányzati támogatásból származó bevétel</t>
  </si>
  <si>
    <t>Működési célú pénzeszköz átvétel államháztartáson kívülről</t>
  </si>
  <si>
    <t>Felhalmozási célú pénzeszk. átvétel államháztartáson kívülről</t>
  </si>
  <si>
    <t>IV. Véglegesen átvett pénzeszközök (2.5.+ 3.5+ 7.3 + 8.3.)</t>
  </si>
  <si>
    <t>Ellátottak pénzbeli juttatásai előirányzata és teljesítése</t>
  </si>
  <si>
    <t>#</t>
  </si>
  <si>
    <t>Előirányzat 2023.</t>
  </si>
  <si>
    <t>Előirányzat 2024.</t>
  </si>
  <si>
    <t>Előirányzat 2025.</t>
  </si>
  <si>
    <t>Települési támogatás rendk.-i települési támogatásra (önk.-i r.12. §)</t>
  </si>
  <si>
    <t>Étkezési térítési díj támogatása 50%</t>
  </si>
  <si>
    <t>Település támogatás (6+….+15)</t>
  </si>
  <si>
    <t>Iskolakezdési támogatás</t>
  </si>
  <si>
    <t>Első lakáshoz jutók támogatása</t>
  </si>
  <si>
    <t>Egyéb nem intézményi ellátások (16+…+22)</t>
  </si>
  <si>
    <t xml:space="preserve">Ellátottak pénzbeli juttatásai </t>
  </si>
  <si>
    <t>összesen:</t>
  </si>
  <si>
    <t>Határozat száma</t>
  </si>
  <si>
    <t>Cél</t>
  </si>
  <si>
    <t>Céltartalék</t>
  </si>
  <si>
    <t>2025.</t>
  </si>
  <si>
    <t>Fejlesztési</t>
  </si>
  <si>
    <t>Fejlesztési céltartalék összesen:</t>
  </si>
  <si>
    <t>Működési</t>
  </si>
  <si>
    <t>Működési céltartalékok összesen:</t>
  </si>
  <si>
    <t>Mindösszesen</t>
  </si>
  <si>
    <t>I.forduló</t>
  </si>
  <si>
    <t>különbség</t>
  </si>
  <si>
    <t>2022-2025 A Kulturális területen biztosítandó 20%-os bérfejlesztés és a minimálbér ás garantált bérminimum emelés kompenzációja</t>
  </si>
  <si>
    <t>10. melléklet a … / 2025. ( … ) önkormányzati rendelethez</t>
  </si>
  <si>
    <t>9. melléklet a … / 2025. ( … ) önkormányzati rendelethez</t>
  </si>
  <si>
    <t>11. melléklet a … / 2025. ( … ) önkormányzati rendelethez</t>
  </si>
  <si>
    <t>12. melléklet a … / 2025. ( … ) önkormányzati rendelethez</t>
  </si>
  <si>
    <t>13. melléklet a … / 2025. ( … ) önkormányzati rendelethez</t>
  </si>
  <si>
    <t>14. melléklet a … / 2025. ( … ) önkormányzati rendelethez</t>
  </si>
  <si>
    <t>15. melléklet a … / 2025. ( … ) önkormányzati rendelethez</t>
  </si>
  <si>
    <t>16. melléklet a … / 2025. ( … ) önkormányzati rendelethez</t>
  </si>
  <si>
    <t>17. melléklet a …/2025. (..) önkormányzati rendelethez</t>
  </si>
  <si>
    <t>19. melléklet a ../2025. (…) önkormányzati rendelethez</t>
  </si>
  <si>
    <t>18. melléklet a ../2025.(..) önkormányzati rendelethez</t>
  </si>
  <si>
    <t>VP6-7.2.1.1-21 Külterületi helyiközutak fejlesztése</t>
  </si>
  <si>
    <t>Települési támogatás mélt.-ból gyógyszerkiadások céljára (önk.-i r. 11. §)</t>
  </si>
  <si>
    <t>Települési támogatás temetés céljára (önk.-i r. 16. §)</t>
  </si>
  <si>
    <t>Köztemetés (önk.-i r. 18. §)</t>
  </si>
  <si>
    <t>Újszülöttek támogatása (Önk.-i r. 14. 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</si>
</sst>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F_t_-;\-* #,##0.00\ _F_t_-;_-* &quot;-&quot;??\ _F_t_-;_-@_-"/>
    <numFmt numFmtId="165" formatCode="#,###"/>
    <numFmt numFmtId="166" formatCode="_-* #,##0\ _F_t_-;\-* #,##0\ _F_t_-;_-* &quot;-&quot;??\ _F_t_-;_-@_-"/>
    <numFmt numFmtId="167" formatCode="0&quot;.&quot;"/>
    <numFmt numFmtId="168" formatCode="#,##0.0"/>
    <numFmt numFmtId="169" formatCode="_-* #,##0\ &quot;Ft&quot;_-;\-* #,##0\ &quot;Ft&quot;_-;_-* &quot;-&quot;??\ &quot;Ft&quot;_-;_-@_-"/>
  </numFmts>
  <fonts count="73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b/>
      <i/>
      <sz val="11"/>
      <name val="Times New Roman CE"/>
      <charset val="238"/>
    </font>
    <font>
      <sz val="7"/>
      <name val="Times New Roman CE"/>
      <family val="1"/>
      <charset val="238"/>
    </font>
    <font>
      <b/>
      <sz val="7"/>
      <name val="Times New Roman CE"/>
      <family val="1"/>
      <charset val="238"/>
    </font>
    <font>
      <sz val="6"/>
      <name val="Times New Roman CE"/>
      <family val="1"/>
      <charset val="238"/>
    </font>
    <font>
      <b/>
      <sz val="6"/>
      <name val="Times New Roman CE"/>
      <family val="1"/>
      <charset val="238"/>
    </font>
    <font>
      <sz val="7"/>
      <name val="Times New Roman CE"/>
      <charset val="238"/>
    </font>
    <font>
      <b/>
      <sz val="7"/>
      <name val="Times New Roman CE"/>
      <charset val="238"/>
    </font>
    <font>
      <i/>
      <sz val="11"/>
      <name val="Times New Roman CE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Times New Roman CE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8"/>
      <color rgb="FFFF0000"/>
      <name val="Times New Roman CE"/>
      <charset val="238"/>
    </font>
    <font>
      <sz val="10"/>
      <color theme="0"/>
      <name val="Times New Roman CE"/>
      <charset val="238"/>
    </font>
    <font>
      <i/>
      <sz val="12"/>
      <color theme="1"/>
      <name val="Calibri"/>
      <family val="2"/>
      <charset val="238"/>
      <scheme val="minor"/>
    </font>
    <font>
      <sz val="12"/>
      <color rgb="FFFF0000"/>
      <name val="Times New Roman CE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2"/>
      <color rgb="FFFF0000"/>
      <name val="Times New Roman CE"/>
      <charset val="238"/>
    </font>
    <font>
      <sz val="1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lightHorizontal"/>
    </fill>
    <fill>
      <patternFill patternType="darkHorizontal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theme="6" tint="-0.499984740745262"/>
      </left>
      <right style="thick">
        <color theme="6" tint="-0.499984740745262"/>
      </right>
      <top style="thick">
        <color theme="6" tint="-0.499984740745262"/>
      </top>
      <bottom style="thick">
        <color theme="6" tint="-0.499984740745262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8" fillId="0" borderId="0"/>
    <xf numFmtId="0" fontId="11" fillId="0" borderId="0"/>
    <xf numFmtId="0" fontId="11" fillId="0" borderId="0"/>
    <xf numFmtId="9" fontId="16" fillId="0" borderId="0" applyFont="0" applyFill="0" applyBorder="0" applyAlignment="0" applyProtection="0"/>
  </cellStyleXfs>
  <cellXfs count="770">
    <xf numFmtId="0" fontId="0" fillId="0" borderId="0" xfId="0"/>
    <xf numFmtId="0" fontId="14" fillId="0" borderId="0" xfId="10" applyFont="1"/>
    <xf numFmtId="0" fontId="0" fillId="0" borderId="0" xfId="0" applyAlignment="1">
      <alignment vertical="center" wrapText="1"/>
    </xf>
    <xf numFmtId="0" fontId="6" fillId="0" borderId="0" xfId="0" applyFont="1" applyAlignment="1">
      <alignment horizontal="right"/>
    </xf>
    <xf numFmtId="0" fontId="7" fillId="0" borderId="0" xfId="10" applyFont="1" applyAlignment="1">
      <alignment vertical="center" wrapText="1"/>
    </xf>
    <xf numFmtId="0" fontId="8" fillId="0" borderId="1" xfId="10" applyFont="1" applyBorder="1" applyAlignment="1">
      <alignment horizontal="center" vertical="center" wrapText="1"/>
    </xf>
    <xf numFmtId="165" fontId="21" fillId="0" borderId="2" xfId="0" applyNumberFormat="1" applyFont="1" applyBorder="1" applyAlignment="1" applyProtection="1">
      <alignment vertical="center" wrapText="1"/>
      <protection locked="0"/>
    </xf>
    <xf numFmtId="165" fontId="21" fillId="0" borderId="3" xfId="0" applyNumberFormat="1" applyFont="1" applyBorder="1" applyAlignment="1" applyProtection="1">
      <alignment vertical="center" wrapText="1"/>
      <protection locked="0"/>
    </xf>
    <xf numFmtId="0" fontId="19" fillId="0" borderId="1" xfId="10" applyFont="1" applyBorder="1" applyAlignment="1">
      <alignment vertical="center" wrapText="1"/>
    </xf>
    <xf numFmtId="0" fontId="19" fillId="0" borderId="4" xfId="10" applyFont="1" applyBorder="1" applyAlignment="1">
      <alignment vertical="center" wrapText="1"/>
    </xf>
    <xf numFmtId="0" fontId="28" fillId="0" borderId="2" xfId="0" applyFont="1" applyBorder="1" applyAlignment="1" applyProtection="1">
      <alignment horizontal="left" vertical="center" indent="1"/>
      <protection locked="0"/>
    </xf>
    <xf numFmtId="0" fontId="19" fillId="0" borderId="1" xfId="1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8" fillId="0" borderId="1" xfId="11" applyFont="1" applyBorder="1" applyAlignment="1">
      <alignment horizontal="left" vertical="center" indent="1"/>
    </xf>
    <xf numFmtId="0" fontId="11" fillId="0" borderId="0" xfId="10"/>
    <xf numFmtId="0" fontId="21" fillId="0" borderId="0" xfId="10" applyFont="1"/>
    <xf numFmtId="0" fontId="23" fillId="0" borderId="0" xfId="10" applyFont="1"/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6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center" vertical="center" wrapText="1"/>
    </xf>
    <xf numFmtId="165" fontId="21" fillId="0" borderId="6" xfId="0" applyNumberFormat="1" applyFont="1" applyBorder="1" applyAlignment="1" applyProtection="1">
      <alignment horizontal="left" vertical="center" wrapText="1" indent="1"/>
      <protection locked="0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165" fontId="8" fillId="0" borderId="7" xfId="0" applyNumberFormat="1" applyFont="1" applyBorder="1" applyAlignment="1">
      <alignment horizontal="center" vertical="center" wrapText="1"/>
    </xf>
    <xf numFmtId="165" fontId="19" fillId="0" borderId="8" xfId="0" applyNumberFormat="1" applyFont="1" applyBorder="1" applyAlignment="1">
      <alignment horizontal="center" vertical="center" wrapText="1"/>
    </xf>
    <xf numFmtId="165" fontId="19" fillId="0" borderId="9" xfId="0" applyNumberFormat="1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vertical="center" wrapText="1"/>
    </xf>
    <xf numFmtId="165" fontId="21" fillId="0" borderId="11" xfId="0" applyNumberFormat="1" applyFont="1" applyBorder="1" applyAlignment="1" applyProtection="1">
      <alignment horizontal="left" vertical="center" wrapText="1" indent="1"/>
      <protection locked="0"/>
    </xf>
    <xf numFmtId="165" fontId="21" fillId="0" borderId="12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165" fontId="19" fillId="0" borderId="7" xfId="0" applyNumberFormat="1" applyFont="1" applyBorder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165" fontId="18" fillId="0" borderId="2" xfId="0" applyNumberFormat="1" applyFont="1" applyBorder="1" applyAlignment="1" applyProtection="1">
      <alignment vertical="center" wrapText="1"/>
      <protection locked="0"/>
    </xf>
    <xf numFmtId="165" fontId="18" fillId="0" borderId="10" xfId="0" applyNumberFormat="1" applyFont="1" applyBorder="1" applyAlignment="1">
      <alignment vertical="center" wrapText="1"/>
    </xf>
    <xf numFmtId="165" fontId="18" fillId="0" borderId="3" xfId="0" applyNumberFormat="1" applyFont="1" applyBorder="1" applyAlignment="1" applyProtection="1">
      <alignment vertical="center" wrapText="1"/>
      <protection locked="0"/>
    </xf>
    <xf numFmtId="165" fontId="18" fillId="0" borderId="12" xfId="0" applyNumberFormat="1" applyFont="1" applyBorder="1" applyAlignment="1">
      <alignment vertical="center" wrapText="1"/>
    </xf>
    <xf numFmtId="165" fontId="8" fillId="0" borderId="7" xfId="0" applyNumberFormat="1" applyFont="1" applyBorder="1" applyAlignment="1">
      <alignment vertical="center" wrapText="1"/>
    </xf>
    <xf numFmtId="165" fontId="21" fillId="0" borderId="13" xfId="0" applyNumberFormat="1" applyFont="1" applyBorder="1" applyAlignment="1">
      <alignment vertical="center" wrapText="1"/>
    </xf>
    <xf numFmtId="165" fontId="9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28" fillId="0" borderId="14" xfId="0" applyNumberFormat="1" applyFont="1" applyBorder="1" applyAlignment="1" applyProtection="1">
      <alignment horizontal="right" vertical="center" wrapText="1" indent="1"/>
      <protection locked="0"/>
    </xf>
    <xf numFmtId="0" fontId="28" fillId="0" borderId="6" xfId="0" applyFont="1" applyBorder="1" applyAlignment="1">
      <alignment horizontal="center" vertical="center" wrapText="1"/>
    </xf>
    <xf numFmtId="165" fontId="28" fillId="0" borderId="2" xfId="0" applyNumberFormat="1" applyFont="1" applyBorder="1" applyAlignment="1" applyProtection="1">
      <alignment horizontal="right" vertical="center" wrapText="1" indent="1"/>
      <protection locked="0"/>
    </xf>
    <xf numFmtId="165" fontId="28" fillId="0" borderId="10" xfId="0" applyNumberFormat="1" applyFont="1" applyBorder="1" applyAlignment="1" applyProtection="1">
      <alignment horizontal="right" vertical="center" wrapText="1" indent="1"/>
      <protection locked="0"/>
    </xf>
    <xf numFmtId="0" fontId="28" fillId="0" borderId="2" xfId="0" applyFont="1" applyBorder="1" applyAlignment="1" applyProtection="1">
      <alignment vertical="center" wrapText="1"/>
      <protection locked="0"/>
    </xf>
    <xf numFmtId="0" fontId="28" fillId="0" borderId="15" xfId="0" applyFont="1" applyBorder="1" applyAlignment="1" applyProtection="1">
      <alignment vertical="center" wrapText="1"/>
      <protection locked="0"/>
    </xf>
    <xf numFmtId="165" fontId="28" fillId="0" borderId="15" xfId="0" applyNumberFormat="1" applyFont="1" applyBorder="1" applyAlignment="1" applyProtection="1">
      <alignment horizontal="right" vertical="center" wrapText="1" indent="1"/>
      <protection locked="0"/>
    </xf>
    <xf numFmtId="165" fontId="28" fillId="0" borderId="16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22" fillId="0" borderId="0" xfId="0" applyFont="1"/>
    <xf numFmtId="0" fontId="29" fillId="0" borderId="4" xfId="11" applyFont="1" applyBorder="1" applyAlignment="1">
      <alignment horizontal="center" vertical="center"/>
    </xf>
    <xf numFmtId="0" fontId="29" fillId="0" borderId="17" xfId="11" applyFont="1" applyBorder="1" applyAlignment="1">
      <alignment horizontal="center" vertical="center"/>
    </xf>
    <xf numFmtId="0" fontId="11" fillId="0" borderId="0" xfId="11"/>
    <xf numFmtId="0" fontId="21" fillId="0" borderId="5" xfId="11" applyFont="1" applyBorder="1" applyAlignment="1">
      <alignment horizontal="left" vertical="center" indent="1"/>
    </xf>
    <xf numFmtId="0" fontId="11" fillId="0" borderId="0" xfId="11" applyAlignment="1">
      <alignment vertical="center"/>
    </xf>
    <xf numFmtId="0" fontId="21" fillId="0" borderId="6" xfId="11" applyFont="1" applyBorder="1" applyAlignment="1">
      <alignment horizontal="left" vertical="center" indent="1"/>
    </xf>
    <xf numFmtId="165" fontId="21" fillId="0" borderId="10" xfId="11" applyNumberFormat="1" applyFont="1" applyBorder="1" applyAlignment="1">
      <alignment vertical="center"/>
    </xf>
    <xf numFmtId="0" fontId="11" fillId="0" borderId="0" xfId="11" applyAlignment="1" applyProtection="1">
      <alignment vertical="center"/>
      <protection locked="0"/>
    </xf>
    <xf numFmtId="165" fontId="21" fillId="0" borderId="14" xfId="11" applyNumberFormat="1" applyFont="1" applyBorder="1" applyAlignment="1">
      <alignment vertical="center"/>
    </xf>
    <xf numFmtId="165" fontId="19" fillId="0" borderId="7" xfId="11" applyNumberFormat="1" applyFont="1" applyBorder="1" applyAlignment="1">
      <alignment vertical="center"/>
    </xf>
    <xf numFmtId="0" fontId="21" fillId="0" borderId="18" xfId="11" applyFont="1" applyBorder="1" applyAlignment="1">
      <alignment horizontal="left" vertical="center" indent="1"/>
    </xf>
    <xf numFmtId="0" fontId="19" fillId="0" borderId="5" xfId="11" applyFont="1" applyBorder="1" applyAlignment="1">
      <alignment horizontal="left" vertical="center" indent="1"/>
    </xf>
    <xf numFmtId="165" fontId="19" fillId="0" borderId="7" xfId="11" applyNumberFormat="1" applyFont="1" applyBorder="1"/>
    <xf numFmtId="0" fontId="11" fillId="0" borderId="0" xfId="11" applyProtection="1">
      <protection locked="0"/>
    </xf>
    <xf numFmtId="0" fontId="14" fillId="0" borderId="0" xfId="11" applyFont="1"/>
    <xf numFmtId="0" fontId="33" fillId="0" borderId="0" xfId="11" applyFont="1" applyProtection="1">
      <protection locked="0"/>
    </xf>
    <xf numFmtId="0" fontId="22" fillId="0" borderId="0" xfId="11" applyFont="1" applyProtection="1">
      <protection locked="0"/>
    </xf>
    <xf numFmtId="165" fontId="19" fillId="2" borderId="1" xfId="0" applyNumberFormat="1" applyFont="1" applyFill="1" applyBorder="1" applyAlignment="1">
      <alignment vertical="center" wrapText="1"/>
    </xf>
    <xf numFmtId="165" fontId="8" fillId="2" borderId="1" xfId="0" applyNumberFormat="1" applyFont="1" applyFill="1" applyBorder="1" applyAlignment="1">
      <alignment vertical="center" wrapText="1"/>
    </xf>
    <xf numFmtId="165" fontId="21" fillId="0" borderId="18" xfId="0" applyNumberFormat="1" applyFont="1" applyBorder="1" applyAlignment="1" applyProtection="1">
      <alignment horizontal="left" vertical="center" wrapText="1" indent="1"/>
      <protection locked="0"/>
    </xf>
    <xf numFmtId="0" fontId="28" fillId="0" borderId="19" xfId="0" applyFont="1" applyBorder="1" applyAlignment="1" applyProtection="1">
      <alignment vertical="center" wrapText="1"/>
      <protection locked="0"/>
    </xf>
    <xf numFmtId="0" fontId="22" fillId="0" borderId="0" xfId="10" applyFont="1"/>
    <xf numFmtId="0" fontId="35" fillId="0" borderId="0" xfId="0" applyFont="1"/>
    <xf numFmtId="0" fontId="36" fillId="0" borderId="0" xfId="0" applyFont="1"/>
    <xf numFmtId="0" fontId="36" fillId="0" borderId="0" xfId="0" applyFont="1" applyAlignment="1">
      <alignment horizontal="right" indent="1"/>
    </xf>
    <xf numFmtId="0" fontId="23" fillId="0" borderId="0" xfId="0" applyFont="1" applyAlignment="1">
      <alignment horizontal="center"/>
    </xf>
    <xf numFmtId="0" fontId="27" fillId="0" borderId="1" xfId="10" applyFont="1" applyBorder="1" applyAlignment="1">
      <alignment horizontal="left" vertical="center" wrapText="1"/>
    </xf>
    <xf numFmtId="165" fontId="28" fillId="0" borderId="20" xfId="0" applyNumberFormat="1" applyFont="1" applyBorder="1" applyAlignment="1" applyProtection="1">
      <alignment horizontal="right" vertical="center" wrapText="1" indent="1"/>
      <protection locked="0"/>
    </xf>
    <xf numFmtId="165" fontId="28" fillId="0" borderId="21" xfId="0" applyNumberFormat="1" applyFont="1" applyBorder="1" applyAlignment="1" applyProtection="1">
      <alignment horizontal="right" vertical="center" wrapText="1" indent="1"/>
      <protection locked="0"/>
    </xf>
    <xf numFmtId="0" fontId="28" fillId="0" borderId="2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right" indent="1"/>
    </xf>
    <xf numFmtId="3" fontId="29" fillId="0" borderId="0" xfId="0" applyNumberFormat="1" applyFont="1" applyAlignment="1">
      <alignment horizontal="right" indent="1"/>
    </xf>
    <xf numFmtId="165" fontId="34" fillId="0" borderId="23" xfId="10" applyNumberFormat="1" applyFont="1" applyBorder="1" applyAlignment="1">
      <alignment horizontal="left" vertical="center"/>
    </xf>
    <xf numFmtId="0" fontId="21" fillId="0" borderId="2" xfId="10" applyFont="1" applyBorder="1" applyAlignment="1">
      <alignment horizontal="left" vertical="center" wrapText="1" indent="6"/>
    </xf>
    <xf numFmtId="0" fontId="40" fillId="0" borderId="0" xfId="0" applyFont="1"/>
    <xf numFmtId="0" fontId="41" fillId="0" borderId="0" xfId="0" applyFont="1"/>
    <xf numFmtId="0" fontId="2" fillId="0" borderId="0" xfId="10" applyFont="1"/>
    <xf numFmtId="165" fontId="5" fillId="0" borderId="0" xfId="10" applyNumberFormat="1" applyFont="1" applyAlignment="1">
      <alignment horizontal="centerContinuous" vertical="center"/>
    </xf>
    <xf numFmtId="0" fontId="14" fillId="0" borderId="6" xfId="10" applyFont="1" applyBorder="1" applyAlignment="1">
      <alignment horizontal="center" vertical="center"/>
    </xf>
    <xf numFmtId="0" fontId="14" fillId="0" borderId="18" xfId="10" applyFont="1" applyBorder="1" applyAlignment="1">
      <alignment horizontal="center" vertical="center"/>
    </xf>
    <xf numFmtId="0" fontId="14" fillId="0" borderId="5" xfId="10" applyFont="1" applyBorder="1" applyAlignment="1">
      <alignment horizontal="center" vertical="center"/>
    </xf>
    <xf numFmtId="0" fontId="14" fillId="0" borderId="1" xfId="10" applyFont="1" applyBorder="1" applyAlignment="1">
      <alignment horizontal="center" vertical="center"/>
    </xf>
    <xf numFmtId="0" fontId="14" fillId="0" borderId="7" xfId="10" applyFont="1" applyBorder="1" applyAlignment="1">
      <alignment horizontal="center" vertical="center"/>
    </xf>
    <xf numFmtId="0" fontId="10" fillId="0" borderId="0" xfId="0" applyFont="1"/>
    <xf numFmtId="0" fontId="14" fillId="0" borderId="11" xfId="10" applyFont="1" applyBorder="1" applyAlignment="1">
      <alignment horizontal="center" vertical="center"/>
    </xf>
    <xf numFmtId="0" fontId="8" fillId="0" borderId="24" xfId="10" applyFont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39" fillId="0" borderId="0" xfId="0" applyFont="1"/>
    <xf numFmtId="165" fontId="28" fillId="0" borderId="19" xfId="0" applyNumberFormat="1" applyFont="1" applyBorder="1" applyAlignment="1" applyProtection="1">
      <alignment vertical="center"/>
      <protection locked="0"/>
    </xf>
    <xf numFmtId="165" fontId="28" fillId="0" borderId="2" xfId="0" applyNumberFormat="1" applyFont="1" applyBorder="1" applyAlignment="1" applyProtection="1">
      <alignment vertical="center"/>
      <protection locked="0"/>
    </xf>
    <xf numFmtId="165" fontId="28" fillId="0" borderId="3" xfId="0" applyNumberFormat="1" applyFont="1" applyBorder="1" applyAlignment="1" applyProtection="1">
      <alignment vertical="center"/>
      <protection locked="0"/>
    </xf>
    <xf numFmtId="0" fontId="4" fillId="0" borderId="0" xfId="0" applyFont="1"/>
    <xf numFmtId="0" fontId="6" fillId="0" borderId="0" xfId="0" applyFont="1" applyAlignment="1">
      <alignment horizontal="center"/>
    </xf>
    <xf numFmtId="0" fontId="27" fillId="0" borderId="22" xfId="10" applyFont="1" applyBorder="1" applyAlignment="1">
      <alignment horizontal="center" vertical="center" wrapText="1"/>
    </xf>
    <xf numFmtId="0" fontId="27" fillId="0" borderId="25" xfId="10" applyFont="1" applyBorder="1" applyAlignment="1">
      <alignment horizontal="center" vertical="center" wrapText="1"/>
    </xf>
    <xf numFmtId="0" fontId="27" fillId="0" borderId="26" xfId="10" applyFont="1" applyBorder="1" applyAlignment="1">
      <alignment horizontal="center" vertical="center" wrapText="1"/>
    </xf>
    <xf numFmtId="0" fontId="28" fillId="0" borderId="5" xfId="10" applyFont="1" applyBorder="1" applyAlignment="1">
      <alignment horizontal="center" vertical="center"/>
    </xf>
    <xf numFmtId="0" fontId="28" fillId="0" borderId="22" xfId="10" applyFont="1" applyBorder="1" applyAlignment="1">
      <alignment horizontal="center" vertical="center"/>
    </xf>
    <xf numFmtId="0" fontId="28" fillId="0" borderId="6" xfId="10" applyFont="1" applyBorder="1" applyAlignment="1">
      <alignment horizontal="center" vertical="center"/>
    </xf>
    <xf numFmtId="0" fontId="28" fillId="0" borderId="11" xfId="1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left" vertical="center" wrapText="1" indent="1"/>
    </xf>
    <xf numFmtId="0" fontId="25" fillId="0" borderId="21" xfId="0" applyFont="1" applyBorder="1" applyAlignment="1">
      <alignment horizontal="left" vertical="center" wrapText="1" indent="1"/>
    </xf>
    <xf numFmtId="0" fontId="25" fillId="0" borderId="21" xfId="0" applyFont="1" applyBorder="1" applyAlignment="1">
      <alignment horizontal="left" vertical="center" wrapText="1" indent="8"/>
    </xf>
    <xf numFmtId="0" fontId="28" fillId="0" borderId="19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9" fillId="0" borderId="9" xfId="0" applyFont="1" applyBorder="1" applyAlignment="1">
      <alignment vertical="center" wrapText="1"/>
    </xf>
    <xf numFmtId="165" fontId="27" fillId="0" borderId="9" xfId="0" applyNumberFormat="1" applyFont="1" applyBorder="1" applyAlignment="1">
      <alignment vertical="center" wrapText="1"/>
    </xf>
    <xf numFmtId="165" fontId="27" fillId="0" borderId="27" xfId="0" applyNumberFormat="1" applyFont="1" applyBorder="1" applyAlignment="1">
      <alignment vertical="center" wrapText="1"/>
    </xf>
    <xf numFmtId="0" fontId="28" fillId="0" borderId="22" xfId="0" applyFont="1" applyBorder="1" applyAlignment="1">
      <alignment horizontal="right" vertical="center" indent="1"/>
    </xf>
    <xf numFmtId="0" fontId="28" fillId="0" borderId="6" xfId="0" applyFont="1" applyBorder="1" applyAlignment="1">
      <alignment horizontal="right" vertical="center" indent="1"/>
    </xf>
    <xf numFmtId="165" fontId="14" fillId="3" borderId="13" xfId="0" applyNumberFormat="1" applyFont="1" applyFill="1" applyBorder="1" applyAlignment="1">
      <alignment horizontal="left" vertical="center" wrapText="1" indent="2"/>
    </xf>
    <xf numFmtId="0" fontId="28" fillId="0" borderId="18" xfId="0" applyFont="1" applyBorder="1" applyAlignment="1">
      <alignment horizontal="center" vertical="center"/>
    </xf>
    <xf numFmtId="165" fontId="27" fillId="0" borderId="14" xfId="0" applyNumberFormat="1" applyFont="1" applyBorder="1" applyAlignment="1">
      <alignment vertical="center"/>
    </xf>
    <xf numFmtId="0" fontId="28" fillId="0" borderId="6" xfId="0" applyFont="1" applyBorder="1" applyAlignment="1">
      <alignment horizontal="center" vertical="center"/>
    </xf>
    <xf numFmtId="165" fontId="27" fillId="0" borderId="10" xfId="0" applyNumberFormat="1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165" fontId="27" fillId="0" borderId="12" xfId="0" applyNumberFormat="1" applyFont="1" applyBorder="1" applyAlignment="1">
      <alignment vertical="center"/>
    </xf>
    <xf numFmtId="0" fontId="27" fillId="0" borderId="5" xfId="0" applyFont="1" applyBorder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165" fontId="27" fillId="0" borderId="1" xfId="0" applyNumberFormat="1" applyFont="1" applyBorder="1" applyAlignment="1">
      <alignment vertical="center"/>
    </xf>
    <xf numFmtId="165" fontId="27" fillId="0" borderId="7" xfId="0" applyNumberFormat="1" applyFont="1" applyBorder="1" applyAlignment="1">
      <alignment vertical="center"/>
    </xf>
    <xf numFmtId="0" fontId="0" fillId="0" borderId="28" xfId="0" applyBorder="1"/>
    <xf numFmtId="0" fontId="6" fillId="0" borderId="28" xfId="0" applyFont="1" applyBorder="1" applyAlignment="1">
      <alignment horizontal="center"/>
    </xf>
    <xf numFmtId="0" fontId="39" fillId="0" borderId="0" xfId="0" applyFont="1" applyProtection="1">
      <protection locked="0"/>
    </xf>
    <xf numFmtId="0" fontId="33" fillId="0" borderId="0" xfId="0" applyFont="1" applyProtection="1">
      <protection locked="0"/>
    </xf>
    <xf numFmtId="165" fontId="19" fillId="0" borderId="24" xfId="10" applyNumberFormat="1" applyFont="1" applyBorder="1" applyAlignment="1">
      <alignment horizontal="right" vertical="center" wrapText="1" indent="1"/>
    </xf>
    <xf numFmtId="165" fontId="21" fillId="0" borderId="29" xfId="10" applyNumberFormat="1" applyFont="1" applyBorder="1" applyAlignment="1" applyProtection="1">
      <alignment horizontal="right" vertical="center" wrapText="1" indent="1"/>
      <protection locked="0"/>
    </xf>
    <xf numFmtId="165" fontId="21" fillId="0" borderId="30" xfId="10" applyNumberFormat="1" applyFont="1" applyBorder="1" applyAlignment="1" applyProtection="1">
      <alignment horizontal="right" vertical="center" wrapText="1" indent="1"/>
      <protection locked="0"/>
    </xf>
    <xf numFmtId="165" fontId="8" fillId="0" borderId="31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 wrapText="1"/>
    </xf>
    <xf numFmtId="165" fontId="19" fillId="0" borderId="32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33" xfId="0" applyNumberFormat="1" applyFont="1" applyBorder="1" applyAlignment="1">
      <alignment horizontal="center" vertical="center" wrapText="1"/>
    </xf>
    <xf numFmtId="165" fontId="19" fillId="0" borderId="7" xfId="0" applyNumberFormat="1" applyFont="1" applyBorder="1" applyAlignment="1">
      <alignment horizontal="center" vertical="center" wrapText="1"/>
    </xf>
    <xf numFmtId="165" fontId="19" fillId="0" borderId="34" xfId="0" applyNumberFormat="1" applyFont="1" applyBorder="1" applyAlignment="1">
      <alignment horizontal="center" vertical="center" wrapText="1"/>
    </xf>
    <xf numFmtId="165" fontId="19" fillId="0" borderId="5" xfId="0" applyNumberFormat="1" applyFont="1" applyBorder="1" applyAlignment="1">
      <alignment horizontal="center" vertical="center" wrapText="1"/>
    </xf>
    <xf numFmtId="165" fontId="19" fillId="0" borderId="6" xfId="0" applyNumberFormat="1" applyFont="1" applyBorder="1" applyAlignment="1">
      <alignment horizontal="center" vertical="center" wrapText="1"/>
    </xf>
    <xf numFmtId="165" fontId="21" fillId="0" borderId="35" xfId="0" applyNumberFormat="1" applyFont="1" applyBorder="1" applyAlignment="1">
      <alignment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1" fillId="0" borderId="36" xfId="0" applyNumberFormat="1" applyFont="1" applyBorder="1" applyAlignment="1">
      <alignment vertical="center" wrapText="1"/>
    </xf>
    <xf numFmtId="165" fontId="19" fillId="0" borderId="37" xfId="0" applyNumberFormat="1" applyFont="1" applyBorder="1" applyAlignment="1">
      <alignment horizontal="center" vertical="center" wrapText="1"/>
    </xf>
    <xf numFmtId="165" fontId="21" fillId="0" borderId="34" xfId="0" applyNumberFormat="1" applyFont="1" applyBorder="1" applyAlignment="1">
      <alignment vertical="center" wrapText="1"/>
    </xf>
    <xf numFmtId="0" fontId="21" fillId="0" borderId="2" xfId="11" applyFont="1" applyBorder="1" applyAlignment="1">
      <alignment horizontal="left" vertical="center" indent="1"/>
    </xf>
    <xf numFmtId="0" fontId="21" fillId="0" borderId="19" xfId="11" applyFont="1" applyBorder="1" applyAlignment="1">
      <alignment horizontal="left" vertical="center" wrapText="1" indent="1"/>
    </xf>
    <xf numFmtId="0" fontId="21" fillId="0" borderId="2" xfId="11" applyFont="1" applyBorder="1" applyAlignment="1">
      <alignment horizontal="left" vertical="center" wrapText="1" indent="1"/>
    </xf>
    <xf numFmtId="0" fontId="21" fillId="0" borderId="19" xfId="11" applyFont="1" applyBorder="1" applyAlignment="1">
      <alignment horizontal="left" vertical="center" indent="1"/>
    </xf>
    <xf numFmtId="0" fontId="8" fillId="0" borderId="1" xfId="11" applyFont="1" applyBorder="1" applyAlignment="1">
      <alignment horizontal="left" indent="1"/>
    </xf>
    <xf numFmtId="0" fontId="24" fillId="0" borderId="38" xfId="0" applyFont="1" applyBorder="1" applyAlignment="1">
      <alignment horizontal="center" vertical="center" wrapText="1"/>
    </xf>
    <xf numFmtId="165" fontId="19" fillId="0" borderId="17" xfId="10" applyNumberFormat="1" applyFont="1" applyBorder="1" applyAlignment="1">
      <alignment horizontal="right" vertical="center" wrapText="1" indent="1"/>
    </xf>
    <xf numFmtId="165" fontId="19" fillId="0" borderId="7" xfId="10" applyNumberFormat="1" applyFont="1" applyBorder="1" applyAlignment="1">
      <alignment horizontal="right" vertical="center" wrapText="1" indent="1"/>
    </xf>
    <xf numFmtId="165" fontId="21" fillId="0" borderId="26" xfId="10" applyNumberFormat="1" applyFont="1" applyBorder="1" applyAlignment="1" applyProtection="1">
      <alignment horizontal="right" vertical="center" wrapText="1" indent="1"/>
      <protection locked="0"/>
    </xf>
    <xf numFmtId="165" fontId="21" fillId="0" borderId="10" xfId="10" applyNumberFormat="1" applyFont="1" applyBorder="1" applyAlignment="1" applyProtection="1">
      <alignment horizontal="right" vertical="center" wrapText="1" indent="1"/>
      <protection locked="0"/>
    </xf>
    <xf numFmtId="165" fontId="21" fillId="0" borderId="14" xfId="10" applyNumberFormat="1" applyFont="1" applyBorder="1" applyAlignment="1" applyProtection="1">
      <alignment horizontal="right" vertical="center" wrapText="1" indent="1"/>
      <protection locked="0"/>
    </xf>
    <xf numFmtId="165" fontId="21" fillId="0" borderId="12" xfId="10" applyNumberFormat="1" applyFont="1" applyBorder="1" applyAlignment="1" applyProtection="1">
      <alignment horizontal="right" vertical="center" wrapText="1" indent="1"/>
      <protection locked="0"/>
    </xf>
    <xf numFmtId="165" fontId="28" fillId="0" borderId="10" xfId="10" applyNumberFormat="1" applyFont="1" applyBorder="1" applyAlignment="1" applyProtection="1">
      <alignment horizontal="right" vertical="center" wrapText="1" indent="1"/>
      <protection locked="0"/>
    </xf>
    <xf numFmtId="165" fontId="27" fillId="0" borderId="7" xfId="10" applyNumberFormat="1" applyFont="1" applyBorder="1" applyAlignment="1">
      <alignment horizontal="right" vertical="center" wrapText="1" indent="1"/>
    </xf>
    <xf numFmtId="165" fontId="7" fillId="0" borderId="0" xfId="10" applyNumberFormat="1" applyFont="1" applyAlignment="1">
      <alignment horizontal="right" vertical="center" wrapText="1" indent="1"/>
    </xf>
    <xf numFmtId="165" fontId="21" fillId="0" borderId="16" xfId="10" applyNumberFormat="1" applyFont="1" applyBorder="1" applyAlignment="1" applyProtection="1">
      <alignment horizontal="right" vertical="center" wrapText="1" indent="1"/>
      <protection locked="0"/>
    </xf>
    <xf numFmtId="165" fontId="26" fillId="0" borderId="7" xfId="0" applyNumberFormat="1" applyFont="1" applyBorder="1" applyAlignment="1">
      <alignment horizontal="right" vertical="center" wrapText="1" indent="1"/>
    </xf>
    <xf numFmtId="0" fontId="6" fillId="0" borderId="23" xfId="0" applyFont="1" applyBorder="1" applyAlignment="1">
      <alignment horizontal="right" vertical="center"/>
    </xf>
    <xf numFmtId="165" fontId="21" fillId="0" borderId="19" xfId="0" applyNumberFormat="1" applyFont="1" applyBorder="1" applyAlignment="1" applyProtection="1">
      <alignment horizontal="right" vertical="center" wrapText="1" indent="1"/>
      <protection locked="0"/>
    </xf>
    <xf numFmtId="165" fontId="21" fillId="0" borderId="2" xfId="0" applyNumberFormat="1" applyFont="1" applyBorder="1" applyAlignment="1" applyProtection="1">
      <alignment horizontal="right" vertical="center" wrapText="1" indent="1"/>
      <protection locked="0"/>
    </xf>
    <xf numFmtId="165" fontId="21" fillId="0" borderId="39" xfId="0" applyNumberFormat="1" applyFont="1" applyBorder="1" applyAlignment="1" applyProtection="1">
      <alignment horizontal="right" vertical="center" wrapText="1" indent="1"/>
      <protection locked="0"/>
    </xf>
    <xf numFmtId="165" fontId="21" fillId="0" borderId="3" xfId="0" applyNumberFormat="1" applyFont="1" applyBorder="1" applyAlignment="1" applyProtection="1">
      <alignment horizontal="right" vertical="center" wrapText="1" indent="1"/>
      <protection locked="0"/>
    </xf>
    <xf numFmtId="165" fontId="21" fillId="0" borderId="14" xfId="0" applyNumberFormat="1" applyFont="1" applyBorder="1" applyAlignment="1" applyProtection="1">
      <alignment horizontal="right" vertical="center" wrapText="1" indent="1"/>
      <protection locked="0"/>
    </xf>
    <xf numFmtId="165" fontId="21" fillId="0" borderId="10" xfId="0" applyNumberFormat="1" applyFont="1" applyBorder="1" applyAlignment="1" applyProtection="1">
      <alignment horizontal="right" vertical="center" wrapText="1" indent="1"/>
      <protection locked="0"/>
    </xf>
    <xf numFmtId="165" fontId="21" fillId="0" borderId="12" xfId="0" applyNumberFormat="1" applyFont="1" applyBorder="1" applyAlignment="1" applyProtection="1">
      <alignment horizontal="right" vertical="center" wrapText="1" indent="1"/>
      <protection locked="0"/>
    </xf>
    <xf numFmtId="165" fontId="7" fillId="0" borderId="0" xfId="0" applyNumberFormat="1" applyFont="1" applyAlignment="1">
      <alignment horizontal="centerContinuous" vertical="center" wrapText="1"/>
    </xf>
    <xf numFmtId="165" fontId="0" fillId="0" borderId="0" xfId="0" applyNumberFormat="1" applyAlignment="1">
      <alignment horizontal="centerContinuous" vertical="center"/>
    </xf>
    <xf numFmtId="165" fontId="8" fillId="0" borderId="5" xfId="0" applyNumberFormat="1" applyFont="1" applyBorder="1" applyAlignment="1">
      <alignment horizontal="centerContinuous" vertical="center" wrapText="1"/>
    </xf>
    <xf numFmtId="165" fontId="8" fillId="0" borderId="1" xfId="0" applyNumberFormat="1" applyFont="1" applyBorder="1" applyAlignment="1">
      <alignment horizontal="centerContinuous" vertical="center" wrapText="1"/>
    </xf>
    <xf numFmtId="165" fontId="8" fillId="0" borderId="7" xfId="0" applyNumberFormat="1" applyFont="1" applyBorder="1" applyAlignment="1">
      <alignment horizontal="centerContinuous" vertical="center" wrapText="1"/>
    </xf>
    <xf numFmtId="165" fontId="27" fillId="0" borderId="13" xfId="0" applyNumberFormat="1" applyFont="1" applyBorder="1" applyAlignment="1">
      <alignment horizontal="center" vertical="center" wrapText="1"/>
    </xf>
    <xf numFmtId="165" fontId="27" fillId="0" borderId="5" xfId="0" applyNumberFormat="1" applyFont="1" applyBorder="1" applyAlignment="1">
      <alignment horizontal="center" vertical="center" wrapText="1"/>
    </xf>
    <xf numFmtId="165" fontId="27" fillId="0" borderId="1" xfId="0" applyNumberFormat="1" applyFont="1" applyBorder="1" applyAlignment="1">
      <alignment horizontal="center" vertical="center" wrapText="1"/>
    </xf>
    <xf numFmtId="165" fontId="27" fillId="0" borderId="7" xfId="0" applyNumberFormat="1" applyFont="1" applyBorder="1" applyAlignment="1">
      <alignment horizontal="center" vertical="center" wrapText="1"/>
    </xf>
    <xf numFmtId="165" fontId="27" fillId="0" borderId="0" xfId="0" applyNumberFormat="1" applyFont="1" applyAlignment="1">
      <alignment horizontal="center" vertical="center" wrapText="1"/>
    </xf>
    <xf numFmtId="165" fontId="21" fillId="0" borderId="18" xfId="0" applyNumberFormat="1" applyFont="1" applyBorder="1" applyAlignment="1">
      <alignment horizontal="left" vertical="center" wrapText="1" indent="1"/>
    </xf>
    <xf numFmtId="165" fontId="21" fillId="0" borderId="6" xfId="0" applyNumberFormat="1" applyFont="1" applyBorder="1" applyAlignment="1">
      <alignment horizontal="left" vertical="center" wrapText="1" indent="1"/>
    </xf>
    <xf numFmtId="165" fontId="21" fillId="0" borderId="18" xfId="0" applyNumberFormat="1" applyFont="1" applyBorder="1" applyAlignment="1">
      <alignment horizontal="left" vertical="center" wrapText="1" indent="2"/>
    </xf>
    <xf numFmtId="165" fontId="21" fillId="0" borderId="11" xfId="0" applyNumberFormat="1" applyFont="1" applyBorder="1" applyAlignment="1">
      <alignment horizontal="left" vertical="center" wrapText="1" indent="2"/>
    </xf>
    <xf numFmtId="165" fontId="21" fillId="0" borderId="40" xfId="0" applyNumberFormat="1" applyFont="1" applyBorder="1" applyAlignment="1" applyProtection="1">
      <alignment horizontal="right" vertical="center" wrapText="1" indent="1"/>
      <protection locked="0"/>
    </xf>
    <xf numFmtId="165" fontId="19" fillId="0" borderId="24" xfId="0" applyNumberFormat="1" applyFont="1" applyBorder="1" applyAlignment="1">
      <alignment horizontal="right" vertical="center" wrapText="1" indent="1"/>
    </xf>
    <xf numFmtId="165" fontId="19" fillId="0" borderId="7" xfId="0" applyNumberFormat="1" applyFont="1" applyBorder="1" applyAlignment="1">
      <alignment horizontal="right" vertical="center" wrapText="1" indent="1"/>
    </xf>
    <xf numFmtId="0" fontId="7" fillId="0" borderId="41" xfId="10" applyFont="1" applyBorder="1" applyAlignment="1">
      <alignment vertical="center" wrapText="1"/>
    </xf>
    <xf numFmtId="0" fontId="15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30" fillId="0" borderId="38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 wrapText="1"/>
    </xf>
    <xf numFmtId="0" fontId="11" fillId="0" borderId="0" xfId="10" applyAlignment="1">
      <alignment horizontal="right" vertical="center" indent="1"/>
    </xf>
    <xf numFmtId="165" fontId="21" fillId="0" borderId="37" xfId="0" applyNumberFormat="1" applyFont="1" applyBorder="1" applyAlignment="1">
      <alignment horizontal="left" vertical="center" wrapText="1" indent="1"/>
    </xf>
    <xf numFmtId="165" fontId="21" fillId="0" borderId="42" xfId="0" applyNumberFormat="1" applyFont="1" applyBorder="1" applyAlignment="1" applyProtection="1">
      <alignment horizontal="right" vertical="center" wrapText="1" indent="1"/>
      <protection locked="0"/>
    </xf>
    <xf numFmtId="165" fontId="28" fillId="0" borderId="12" xfId="10" applyNumberFormat="1" applyFont="1" applyBorder="1" applyAlignment="1" applyProtection="1">
      <alignment horizontal="right" vertical="center" wrapText="1" indent="1"/>
      <protection locked="0"/>
    </xf>
    <xf numFmtId="165" fontId="21" fillId="0" borderId="6" xfId="0" quotePrefix="1" applyNumberFormat="1" applyFont="1" applyBorder="1" applyAlignment="1" applyProtection="1">
      <alignment horizontal="left" vertical="center" wrapText="1" indent="3"/>
      <protection locked="0"/>
    </xf>
    <xf numFmtId="165" fontId="21" fillId="0" borderId="37" xfId="0" applyNumberFormat="1" applyFont="1" applyBorder="1" applyAlignment="1" applyProtection="1">
      <alignment horizontal="left" vertical="center" wrapText="1" indent="1"/>
      <protection locked="0"/>
    </xf>
    <xf numFmtId="165" fontId="21" fillId="0" borderId="6" xfId="0" quotePrefix="1" applyNumberFormat="1" applyFont="1" applyBorder="1" applyAlignment="1" applyProtection="1">
      <alignment horizontal="left" vertical="center" wrapText="1" indent="6"/>
      <protection locked="0"/>
    </xf>
    <xf numFmtId="165" fontId="27" fillId="0" borderId="24" xfId="10" applyNumberFormat="1" applyFont="1" applyBorder="1" applyAlignment="1">
      <alignment horizontal="right" vertical="center" wrapText="1" indent="1"/>
    </xf>
    <xf numFmtId="0" fontId="19" fillId="0" borderId="24" xfId="10" applyFont="1" applyBorder="1" applyAlignment="1">
      <alignment horizontal="center" vertical="center" wrapText="1"/>
    </xf>
    <xf numFmtId="165" fontId="28" fillId="0" borderId="14" xfId="10" applyNumberFormat="1" applyFont="1" applyBorder="1" applyAlignment="1" applyProtection="1">
      <alignment horizontal="right" vertical="center" wrapText="1" indent="1"/>
      <protection locked="0"/>
    </xf>
    <xf numFmtId="165" fontId="19" fillId="0" borderId="7" xfId="10" applyNumberFormat="1" applyFont="1" applyBorder="1" applyAlignment="1" applyProtection="1">
      <alignment horizontal="right" vertical="center" wrapText="1" indent="1"/>
      <protection locked="0"/>
    </xf>
    <xf numFmtId="165" fontId="19" fillId="0" borderId="24" xfId="10" applyNumberFormat="1" applyFont="1" applyBorder="1" applyAlignment="1" applyProtection="1">
      <alignment horizontal="right" vertical="center" wrapText="1" indent="1"/>
      <protection locked="0"/>
    </xf>
    <xf numFmtId="0" fontId="30" fillId="0" borderId="5" xfId="10" applyFont="1" applyBorder="1" applyAlignment="1">
      <alignment horizontal="center" vertical="center"/>
    </xf>
    <xf numFmtId="0" fontId="33" fillId="0" borderId="0" xfId="10" applyFont="1"/>
    <xf numFmtId="0" fontId="27" fillId="0" borderId="5" xfId="10" applyFont="1" applyBorder="1" applyAlignment="1">
      <alignment horizontal="center" vertical="center"/>
    </xf>
    <xf numFmtId="165" fontId="21" fillId="0" borderId="6" xfId="0" applyNumberFormat="1" applyFont="1" applyBorder="1" applyAlignment="1" applyProtection="1">
      <alignment horizontal="left" vertical="center" wrapText="1"/>
      <protection locked="0"/>
    </xf>
    <xf numFmtId="49" fontId="21" fillId="0" borderId="2" xfId="0" applyNumberFormat="1" applyFont="1" applyBorder="1" applyAlignment="1" applyProtection="1">
      <alignment horizontal="center" vertical="center" wrapText="1"/>
      <protection locked="0"/>
    </xf>
    <xf numFmtId="49" fontId="21" fillId="0" borderId="3" xfId="0" applyNumberFormat="1" applyFont="1" applyBorder="1" applyAlignment="1" applyProtection="1">
      <alignment horizontal="center" vertical="center" wrapText="1"/>
      <protection locked="0"/>
    </xf>
    <xf numFmtId="49" fontId="18" fillId="0" borderId="2" xfId="0" applyNumberFormat="1" applyFont="1" applyBorder="1" applyAlignment="1" applyProtection="1">
      <alignment horizontal="center" vertical="center" wrapText="1"/>
      <protection locked="0"/>
    </xf>
    <xf numFmtId="49" fontId="18" fillId="0" borderId="3" xfId="0" applyNumberFormat="1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 wrapText="1"/>
    </xf>
    <xf numFmtId="167" fontId="30" fillId="0" borderId="3" xfId="1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vertical="center" wrapText="1"/>
    </xf>
    <xf numFmtId="0" fontId="19" fillId="0" borderId="9" xfId="10" applyFont="1" applyBorder="1" applyAlignment="1">
      <alignment vertical="center" wrapText="1"/>
    </xf>
    <xf numFmtId="165" fontId="19" fillId="0" borderId="27" xfId="10" applyNumberFormat="1" applyFont="1" applyBorder="1" applyAlignment="1">
      <alignment horizontal="right" vertical="center" wrapText="1" indent="1"/>
    </xf>
    <xf numFmtId="165" fontId="26" fillId="0" borderId="7" xfId="0" applyNumberFormat="1" applyFont="1" applyBorder="1" applyAlignment="1" applyProtection="1">
      <alignment horizontal="right" vertical="center" wrapText="1" indent="1"/>
      <protection locked="0"/>
    </xf>
    <xf numFmtId="165" fontId="21" fillId="0" borderId="43" xfId="10" applyNumberFormat="1" applyFont="1" applyBorder="1" applyAlignment="1" applyProtection="1">
      <alignment horizontal="right" vertical="center" wrapText="1" indent="1"/>
      <protection locked="0"/>
    </xf>
    <xf numFmtId="165" fontId="24" fillId="0" borderId="1" xfId="0" quotePrefix="1" applyNumberFormat="1" applyFont="1" applyBorder="1" applyAlignment="1" applyProtection="1">
      <alignment horizontal="right" vertical="center" wrapText="1" indent="1"/>
      <protection locked="0"/>
    </xf>
    <xf numFmtId="165" fontId="24" fillId="0" borderId="24" xfId="0" quotePrefix="1" applyNumberFormat="1" applyFont="1" applyBorder="1" applyAlignment="1" applyProtection="1">
      <alignment horizontal="right" vertical="center" wrapText="1" indent="1"/>
      <protection locked="0"/>
    </xf>
    <xf numFmtId="0" fontId="27" fillId="0" borderId="1" xfId="10" applyFont="1" applyBorder="1" applyAlignment="1">
      <alignment horizontal="center" vertical="center"/>
    </xf>
    <xf numFmtId="0" fontId="27" fillId="0" borderId="7" xfId="10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 wrapText="1"/>
    </xf>
    <xf numFmtId="165" fontId="19" fillId="0" borderId="27" xfId="0" applyNumberFormat="1" applyFont="1" applyBorder="1" applyAlignment="1">
      <alignment horizontal="center" vertical="center" wrapText="1"/>
    </xf>
    <xf numFmtId="49" fontId="43" fillId="0" borderId="1" xfId="0" applyNumberFormat="1" applyFont="1" applyBorder="1" applyAlignment="1" applyProtection="1">
      <alignment horizontal="center" vertical="center" wrapText="1"/>
      <protection locked="0"/>
    </xf>
    <xf numFmtId="165" fontId="43" fillId="0" borderId="13" xfId="0" applyNumberFormat="1" applyFont="1" applyBorder="1" applyAlignment="1">
      <alignment vertical="center" wrapText="1"/>
    </xf>
    <xf numFmtId="165" fontId="43" fillId="0" borderId="5" xfId="0" applyNumberFormat="1" applyFont="1" applyBorder="1" applyAlignment="1">
      <alignment vertical="center" wrapText="1"/>
    </xf>
    <xf numFmtId="165" fontId="43" fillId="0" borderId="1" xfId="0" applyNumberFormat="1" applyFont="1" applyBorder="1" applyAlignment="1">
      <alignment vertical="center" wrapText="1"/>
    </xf>
    <xf numFmtId="165" fontId="43" fillId="0" borderId="7" xfId="0" applyNumberFormat="1" applyFont="1" applyBorder="1" applyAlignment="1">
      <alignment vertical="center" wrapText="1"/>
    </xf>
    <xf numFmtId="49" fontId="43" fillId="0" borderId="2" xfId="0" applyNumberFormat="1" applyFont="1" applyBorder="1" applyAlignment="1" applyProtection="1">
      <alignment horizontal="center" vertical="center" wrapText="1"/>
      <protection locked="0"/>
    </xf>
    <xf numFmtId="165" fontId="43" fillId="0" borderId="35" xfId="0" applyNumberFormat="1" applyFont="1" applyBorder="1" applyAlignment="1" applyProtection="1">
      <alignment vertical="center" wrapText="1"/>
      <protection locked="0"/>
    </xf>
    <xf numFmtId="165" fontId="43" fillId="0" borderId="6" xfId="0" applyNumberFormat="1" applyFont="1" applyBorder="1" applyAlignment="1" applyProtection="1">
      <alignment vertical="center" wrapText="1"/>
      <protection locked="0"/>
    </xf>
    <xf numFmtId="165" fontId="43" fillId="0" borderId="2" xfId="0" applyNumberFormat="1" applyFont="1" applyBorder="1" applyAlignment="1" applyProtection="1">
      <alignment vertical="center" wrapText="1"/>
      <protection locked="0"/>
    </xf>
    <xf numFmtId="165" fontId="43" fillId="0" borderId="10" xfId="0" applyNumberFormat="1" applyFont="1" applyBorder="1" applyAlignment="1" applyProtection="1">
      <alignment vertical="center" wrapText="1"/>
      <protection locked="0"/>
    </xf>
    <xf numFmtId="49" fontId="43" fillId="0" borderId="3" xfId="0" applyNumberFormat="1" applyFont="1" applyBorder="1" applyAlignment="1" applyProtection="1">
      <alignment horizontal="center" vertical="center" wrapText="1"/>
      <protection locked="0"/>
    </xf>
    <xf numFmtId="165" fontId="43" fillId="0" borderId="36" xfId="0" applyNumberFormat="1" applyFont="1" applyBorder="1" applyAlignment="1" applyProtection="1">
      <alignment vertical="center" wrapText="1"/>
      <protection locked="0"/>
    </xf>
    <xf numFmtId="165" fontId="43" fillId="0" borderId="11" xfId="0" applyNumberFormat="1" applyFont="1" applyBorder="1" applyAlignment="1" applyProtection="1">
      <alignment vertical="center" wrapText="1"/>
      <protection locked="0"/>
    </xf>
    <xf numFmtId="165" fontId="43" fillId="0" borderId="3" xfId="0" applyNumberFormat="1" applyFont="1" applyBorder="1" applyAlignment="1" applyProtection="1">
      <alignment vertical="center" wrapText="1"/>
      <protection locked="0"/>
    </xf>
    <xf numFmtId="165" fontId="43" fillId="0" borderId="12" xfId="0" applyNumberFormat="1" applyFont="1" applyBorder="1" applyAlignment="1" applyProtection="1">
      <alignment vertical="center" wrapText="1"/>
      <protection locked="0"/>
    </xf>
    <xf numFmtId="49" fontId="43" fillId="0" borderId="42" xfId="0" applyNumberFormat="1" applyFont="1" applyBorder="1" applyAlignment="1" applyProtection="1">
      <alignment horizontal="center" vertical="center" wrapText="1"/>
      <protection locked="0"/>
    </xf>
    <xf numFmtId="165" fontId="43" fillId="0" borderId="34" xfId="0" applyNumberFormat="1" applyFont="1" applyBorder="1" applyAlignment="1" applyProtection="1">
      <alignment vertical="center" wrapText="1"/>
      <protection locked="0"/>
    </xf>
    <xf numFmtId="165" fontId="43" fillId="0" borderId="37" xfId="0" applyNumberFormat="1" applyFont="1" applyBorder="1" applyAlignment="1" applyProtection="1">
      <alignment vertical="center" wrapText="1"/>
      <protection locked="0"/>
    </xf>
    <xf numFmtId="165" fontId="43" fillId="0" borderId="44" xfId="0" applyNumberFormat="1" applyFont="1" applyBorder="1" applyAlignment="1" applyProtection="1">
      <alignment vertical="center" wrapText="1"/>
      <protection locked="0"/>
    </xf>
    <xf numFmtId="165" fontId="43" fillId="0" borderId="40" xfId="0" applyNumberFormat="1" applyFont="1" applyBorder="1" applyAlignment="1" applyProtection="1">
      <alignment vertical="center" wrapText="1"/>
      <protection locked="0"/>
    </xf>
    <xf numFmtId="165" fontId="45" fillId="0" borderId="2" xfId="11" applyNumberFormat="1" applyFont="1" applyBorder="1" applyAlignment="1" applyProtection="1">
      <alignment vertical="center"/>
      <protection locked="0"/>
    </xf>
    <xf numFmtId="165" fontId="45" fillId="0" borderId="19" xfId="11" applyNumberFormat="1" applyFont="1" applyBorder="1" applyAlignment="1" applyProtection="1">
      <alignment vertical="center"/>
      <protection locked="0"/>
    </xf>
    <xf numFmtId="165" fontId="46" fillId="0" borderId="1" xfId="11" applyNumberFormat="1" applyFont="1" applyBorder="1" applyAlignment="1">
      <alignment vertical="center"/>
    </xf>
    <xf numFmtId="165" fontId="46" fillId="0" borderId="1" xfId="11" applyNumberFormat="1" applyFont="1" applyBorder="1"/>
    <xf numFmtId="3" fontId="47" fillId="0" borderId="10" xfId="0" applyNumberFormat="1" applyFont="1" applyBorder="1" applyAlignment="1" applyProtection="1">
      <alignment horizontal="right" vertical="center" indent="1"/>
      <protection locked="0"/>
    </xf>
    <xf numFmtId="3" fontId="48" fillId="0" borderId="7" xfId="0" applyNumberFormat="1" applyFont="1" applyBorder="1" applyAlignment="1">
      <alignment horizontal="right" vertical="center" indent="1"/>
    </xf>
    <xf numFmtId="0" fontId="25" fillId="0" borderId="3" xfId="0" applyFont="1" applyBorder="1" applyAlignment="1">
      <alignment horizontal="left" vertical="center" wrapText="1"/>
    </xf>
    <xf numFmtId="0" fontId="14" fillId="0" borderId="0" xfId="10" applyFont="1" applyAlignment="1">
      <alignment vertical="center"/>
    </xf>
    <xf numFmtId="0" fontId="4" fillId="0" borderId="1" xfId="10" applyFont="1" applyBorder="1" applyAlignment="1">
      <alignment horizontal="center" vertical="center" wrapText="1"/>
    </xf>
    <xf numFmtId="0" fontId="4" fillId="0" borderId="7" xfId="10" applyFont="1" applyBorder="1" applyAlignment="1">
      <alignment horizontal="center" vertical="center" wrapText="1"/>
    </xf>
    <xf numFmtId="0" fontId="8" fillId="0" borderId="4" xfId="10" applyFont="1" applyBorder="1" applyAlignment="1">
      <alignment horizontal="center" vertical="center" wrapText="1"/>
    </xf>
    <xf numFmtId="0" fontId="8" fillId="0" borderId="17" xfId="10" applyFont="1" applyBorder="1" applyAlignment="1">
      <alignment horizontal="center" vertical="center" wrapText="1"/>
    </xf>
    <xf numFmtId="165" fontId="28" fillId="0" borderId="16" xfId="10" applyNumberFormat="1" applyFont="1" applyBorder="1" applyAlignment="1" applyProtection="1">
      <alignment horizontal="right" vertical="center" wrapText="1" indent="1"/>
      <protection locked="0"/>
    </xf>
    <xf numFmtId="165" fontId="26" fillId="0" borderId="7" xfId="0" quotePrefix="1" applyNumberFormat="1" applyFont="1" applyBorder="1" applyAlignment="1">
      <alignment horizontal="right" vertical="center" wrapText="1" indent="1"/>
    </xf>
    <xf numFmtId="0" fontId="49" fillId="0" borderId="0" xfId="0" applyFont="1"/>
    <xf numFmtId="165" fontId="20" fillId="0" borderId="0" xfId="0" applyNumberFormat="1" applyFont="1" applyAlignment="1" applyProtection="1">
      <alignment horizontal="right" vertical="center"/>
      <protection locked="0"/>
    </xf>
    <xf numFmtId="165" fontId="20" fillId="0" borderId="0" xfId="0" applyNumberFormat="1" applyFont="1" applyAlignment="1">
      <alignment horizontal="right" vertical="center"/>
    </xf>
    <xf numFmtId="0" fontId="60" fillId="0" borderId="0" xfId="0" applyFont="1"/>
    <xf numFmtId="0" fontId="60" fillId="0" borderId="0" xfId="0" applyFont="1" applyAlignment="1">
      <alignment horizontal="justify" vertical="top" wrapText="1"/>
    </xf>
    <xf numFmtId="0" fontId="61" fillId="6" borderId="0" xfId="0" applyFont="1" applyFill="1" applyAlignment="1">
      <alignment horizontal="center" vertical="center"/>
    </xf>
    <xf numFmtId="0" fontId="61" fillId="6" borderId="0" xfId="0" applyFont="1" applyFill="1" applyAlignment="1">
      <alignment horizontal="center" vertical="top" wrapText="1"/>
    </xf>
    <xf numFmtId="0" fontId="50" fillId="0" borderId="0" xfId="0" applyFont="1"/>
    <xf numFmtId="0" fontId="3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" fontId="50" fillId="0" borderId="0" xfId="0" applyNumberFormat="1" applyFont="1"/>
    <xf numFmtId="14" fontId="50" fillId="0" borderId="0" xfId="0" applyNumberFormat="1" applyFont="1"/>
    <xf numFmtId="165" fontId="0" fillId="0" borderId="0" xfId="0" applyNumberFormat="1" applyAlignment="1" applyProtection="1">
      <alignment vertical="center" wrapText="1"/>
      <protection locked="0"/>
    </xf>
    <xf numFmtId="0" fontId="11" fillId="0" borderId="0" xfId="10" applyProtection="1">
      <protection locked="0"/>
    </xf>
    <xf numFmtId="0" fontId="11" fillId="0" borderId="0" xfId="10" applyAlignment="1" applyProtection="1">
      <alignment horizontal="right" vertical="center" indent="1"/>
      <protection locked="0"/>
    </xf>
    <xf numFmtId="0" fontId="8" fillId="0" borderId="1" xfId="10" applyFont="1" applyBorder="1" applyAlignment="1" applyProtection="1">
      <alignment horizontal="center" vertical="center" wrapText="1"/>
      <protection locked="0"/>
    </xf>
    <xf numFmtId="165" fontId="62" fillId="0" borderId="0" xfId="10" applyNumberFormat="1" applyFont="1" applyAlignment="1">
      <alignment horizontal="right" vertical="center" indent="1"/>
    </xf>
    <xf numFmtId="165" fontId="0" fillId="0" borderId="0" xfId="0" applyNumberFormat="1" applyAlignment="1" applyProtection="1">
      <alignment horizontal="center" vertical="center" wrapText="1"/>
      <protection locked="0"/>
    </xf>
    <xf numFmtId="165" fontId="8" fillId="0" borderId="5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0" fontId="42" fillId="0" borderId="0" xfId="0" applyFont="1"/>
    <xf numFmtId="0" fontId="42" fillId="0" borderId="0" xfId="11" applyFont="1" applyProtection="1">
      <protection locked="0"/>
    </xf>
    <xf numFmtId="0" fontId="49" fillId="0" borderId="0" xfId="10" applyFont="1" applyAlignment="1">
      <alignment horizontal="right"/>
    </xf>
    <xf numFmtId="0" fontId="59" fillId="0" borderId="0" xfId="5" applyAlignment="1" applyProtection="1"/>
    <xf numFmtId="0" fontId="50" fillId="0" borderId="0" xfId="0" applyFont="1" applyAlignment="1">
      <alignment wrapText="1"/>
    </xf>
    <xf numFmtId="0" fontId="49" fillId="0" borderId="0" xfId="0" applyFont="1" applyAlignment="1">
      <alignment horizontal="right"/>
    </xf>
    <xf numFmtId="0" fontId="49" fillId="0" borderId="0" xfId="0" applyFont="1" applyAlignment="1">
      <alignment horizontal="right" vertical="center"/>
    </xf>
    <xf numFmtId="0" fontId="0" fillId="0" borderId="0" xfId="0" applyAlignment="1" applyProtection="1">
      <alignment horizontal="right"/>
      <protection locked="0"/>
    </xf>
    <xf numFmtId="0" fontId="33" fillId="0" borderId="0" xfId="0" applyFont="1" applyAlignment="1" applyProtection="1">
      <alignment horizontal="center"/>
      <protection locked="0"/>
    </xf>
    <xf numFmtId="0" fontId="24" fillId="0" borderId="17" xfId="0" applyFont="1" applyBorder="1" applyAlignment="1">
      <alignment horizontal="center" vertical="center" wrapText="1"/>
    </xf>
    <xf numFmtId="0" fontId="0" fillId="7" borderId="0" xfId="0" applyFill="1" applyAlignment="1" applyProtection="1">
      <alignment horizontal="center"/>
      <protection locked="0"/>
    </xf>
    <xf numFmtId="165" fontId="21" fillId="0" borderId="44" xfId="0" applyNumberFormat="1" applyFont="1" applyBorder="1" applyAlignment="1" applyProtection="1">
      <alignment horizontal="right" vertical="center" wrapText="1" indent="1"/>
      <protection locked="0"/>
    </xf>
    <xf numFmtId="0" fontId="63" fillId="0" borderId="0" xfId="0" applyFont="1"/>
    <xf numFmtId="165" fontId="19" fillId="0" borderId="1" xfId="0" applyNumberFormat="1" applyFont="1" applyBorder="1" applyAlignment="1">
      <alignment horizontal="right" vertical="center" wrapText="1" indent="1"/>
    </xf>
    <xf numFmtId="0" fontId="19" fillId="0" borderId="1" xfId="1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1" fillId="0" borderId="25" xfId="10" applyFont="1" applyBorder="1" applyAlignment="1">
      <alignment horizontal="left" vertical="center" wrapText="1"/>
    </xf>
    <xf numFmtId="0" fontId="21" fillId="0" borderId="2" xfId="10" applyFont="1" applyBorder="1" applyAlignment="1">
      <alignment horizontal="left" vertical="center" wrapText="1"/>
    </xf>
    <xf numFmtId="0" fontId="21" fillId="0" borderId="21" xfId="10" applyFont="1" applyBorder="1" applyAlignment="1">
      <alignment horizontal="left" vertical="center" wrapText="1"/>
    </xf>
    <xf numFmtId="0" fontId="21" fillId="0" borderId="3" xfId="10" applyFont="1" applyBorder="1" applyAlignment="1">
      <alignment horizontal="left" vertical="center" wrapText="1"/>
    </xf>
    <xf numFmtId="0" fontId="21" fillId="0" borderId="19" xfId="10" applyFont="1" applyBorder="1" applyAlignment="1">
      <alignment horizontal="left" vertical="center" wrapText="1"/>
    </xf>
    <xf numFmtId="0" fontId="21" fillId="0" borderId="44" xfId="10" applyFont="1" applyBorder="1" applyAlignment="1">
      <alignment horizontal="left" vertical="center" wrapText="1"/>
    </xf>
    <xf numFmtId="165" fontId="28" fillId="0" borderId="26" xfId="10" applyNumberFormat="1" applyFont="1" applyBorder="1" applyAlignment="1" applyProtection="1">
      <alignment horizontal="right" vertical="center" wrapText="1" indent="1"/>
      <protection locked="0"/>
    </xf>
    <xf numFmtId="0" fontId="38" fillId="0" borderId="0" xfId="0" applyFont="1" applyProtection="1">
      <protection locked="0"/>
    </xf>
    <xf numFmtId="0" fontId="42" fillId="0" borderId="0" xfId="0" applyFont="1" applyAlignment="1" applyProtection="1">
      <alignment horizontal="right"/>
      <protection locked="0"/>
    </xf>
    <xf numFmtId="0" fontId="53" fillId="0" borderId="0" xfId="0" applyFont="1" applyAlignment="1">
      <alignment horizontal="right"/>
    </xf>
    <xf numFmtId="0" fontId="30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49" fontId="0" fillId="0" borderId="0" xfId="0" applyNumberFormat="1"/>
    <xf numFmtId="165" fontId="16" fillId="0" borderId="0" xfId="7" applyNumberFormat="1" applyAlignment="1">
      <alignment vertical="center" wrapText="1"/>
    </xf>
    <xf numFmtId="165" fontId="9" fillId="0" borderId="0" xfId="7" applyNumberFormat="1" applyFont="1" applyAlignment="1" applyProtection="1">
      <alignment vertical="center" wrapText="1"/>
      <protection locked="0"/>
    </xf>
    <xf numFmtId="165" fontId="19" fillId="0" borderId="13" xfId="7" applyNumberFormat="1" applyFont="1" applyBorder="1" applyAlignment="1">
      <alignment horizontal="center" vertical="center" wrapText="1"/>
    </xf>
    <xf numFmtId="165" fontId="6" fillId="0" borderId="23" xfId="7" applyNumberFormat="1" applyFont="1" applyBorder="1" applyAlignment="1">
      <alignment horizontal="right" vertical="center"/>
    </xf>
    <xf numFmtId="165" fontId="6" fillId="0" borderId="23" xfId="7" applyNumberFormat="1" applyFont="1" applyBorder="1" applyAlignment="1" applyProtection="1">
      <alignment horizontal="right" vertical="center"/>
      <protection locked="0"/>
    </xf>
    <xf numFmtId="165" fontId="30" fillId="0" borderId="13" xfId="7" applyNumberFormat="1" applyFont="1" applyBorder="1" applyAlignment="1">
      <alignment horizontal="center" vertical="center" wrapText="1"/>
    </xf>
    <xf numFmtId="3" fontId="16" fillId="0" borderId="45" xfId="7" applyNumberFormat="1" applyBorder="1" applyAlignment="1" applyProtection="1">
      <alignment horizontal="right" vertical="center" wrapText="1"/>
      <protection locked="0"/>
    </xf>
    <xf numFmtId="3" fontId="16" fillId="0" borderId="36" xfId="7" applyNumberFormat="1" applyBorder="1" applyAlignment="1" applyProtection="1">
      <alignment horizontal="right" vertical="center" wrapText="1"/>
      <protection locked="0"/>
    </xf>
    <xf numFmtId="165" fontId="30" fillId="0" borderId="13" xfId="7" applyNumberFormat="1" applyFont="1" applyBorder="1" applyAlignment="1">
      <alignment horizontal="right" vertical="center" wrapText="1"/>
    </xf>
    <xf numFmtId="165" fontId="30" fillId="0" borderId="0" xfId="7" applyNumberFormat="1" applyFont="1" applyAlignment="1">
      <alignment horizontal="left" vertical="center" wrapText="1"/>
    </xf>
    <xf numFmtId="165" fontId="30" fillId="0" borderId="0" xfId="7" applyNumberFormat="1" applyFont="1" applyAlignment="1">
      <alignment horizontal="right" vertical="center" wrapText="1"/>
    </xf>
    <xf numFmtId="165" fontId="19" fillId="0" borderId="46" xfId="7" applyNumberFormat="1" applyFont="1" applyBorder="1" applyAlignment="1">
      <alignment horizontal="center" vertical="center"/>
    </xf>
    <xf numFmtId="165" fontId="19" fillId="0" borderId="13" xfId="7" applyNumberFormat="1" applyFont="1" applyBorder="1" applyAlignment="1">
      <alignment horizontal="center" vertical="center"/>
    </xf>
    <xf numFmtId="165" fontId="19" fillId="0" borderId="47" xfId="7" applyNumberFormat="1" applyFont="1" applyBorder="1" applyAlignment="1">
      <alignment horizontal="center" vertical="center"/>
    </xf>
    <xf numFmtId="165" fontId="19" fillId="0" borderId="47" xfId="7" applyNumberFormat="1" applyFont="1" applyBorder="1" applyAlignment="1">
      <alignment horizontal="center" vertical="center" wrapText="1"/>
    </xf>
    <xf numFmtId="49" fontId="36" fillId="0" borderId="48" xfId="7" applyNumberFormat="1" applyFont="1" applyBorder="1" applyAlignment="1">
      <alignment horizontal="left" vertical="center"/>
    </xf>
    <xf numFmtId="49" fontId="55" fillId="0" borderId="49" xfId="7" quotePrefix="1" applyNumberFormat="1" applyFont="1" applyBorder="1" applyAlignment="1">
      <alignment horizontal="left" vertical="center"/>
    </xf>
    <xf numFmtId="49" fontId="36" fillId="0" borderId="49" xfId="7" applyNumberFormat="1" applyFont="1" applyBorder="1" applyAlignment="1">
      <alignment horizontal="left" vertical="center"/>
    </xf>
    <xf numFmtId="49" fontId="29" fillId="0" borderId="32" xfId="7" applyNumberFormat="1" applyFont="1" applyBorder="1" applyAlignment="1" applyProtection="1">
      <alignment horizontal="left" vertical="center"/>
      <protection locked="0"/>
    </xf>
    <xf numFmtId="49" fontId="36" fillId="0" borderId="18" xfId="7" applyNumberFormat="1" applyFont="1" applyBorder="1" applyAlignment="1">
      <alignment horizontal="left" vertical="center"/>
    </xf>
    <xf numFmtId="49" fontId="36" fillId="0" borderId="6" xfId="7" applyNumberFormat="1" applyFont="1" applyBorder="1" applyAlignment="1">
      <alignment horizontal="left" vertical="center"/>
    </xf>
    <xf numFmtId="49" fontId="36" fillId="0" borderId="11" xfId="7" applyNumberFormat="1" applyFont="1" applyBorder="1" applyAlignment="1" applyProtection="1">
      <alignment horizontal="left" vertical="center"/>
      <protection locked="0"/>
    </xf>
    <xf numFmtId="168" fontId="29" fillId="0" borderId="13" xfId="7" applyNumberFormat="1" applyFont="1" applyBorder="1" applyAlignment="1">
      <alignment horizontal="left" vertical="center" wrapText="1"/>
    </xf>
    <xf numFmtId="0" fontId="16" fillId="0" borderId="0" xfId="7" applyAlignment="1">
      <alignment vertical="center"/>
    </xf>
    <xf numFmtId="0" fontId="64" fillId="0" borderId="0" xfId="0" applyFont="1" applyAlignment="1">
      <alignment vertical="top" textRotation="180"/>
    </xf>
    <xf numFmtId="0" fontId="30" fillId="0" borderId="70" xfId="0" applyFont="1" applyBorder="1"/>
    <xf numFmtId="49" fontId="21" fillId="0" borderId="18" xfId="10" applyNumberFormat="1" applyFont="1" applyBorder="1" applyAlignment="1">
      <alignment horizontal="right" vertical="center" wrapText="1" indent="1"/>
    </xf>
    <xf numFmtId="49" fontId="21" fillId="0" borderId="37" xfId="10" applyNumberFormat="1" applyFont="1" applyBorder="1" applyAlignment="1">
      <alignment horizontal="right" vertical="center" wrapText="1" indent="1"/>
    </xf>
    <xf numFmtId="49" fontId="21" fillId="0" borderId="6" xfId="10" applyNumberFormat="1" applyFont="1" applyBorder="1" applyAlignment="1">
      <alignment horizontal="right" vertical="center" wrapText="1" indent="1"/>
    </xf>
    <xf numFmtId="0" fontId="19" fillId="0" borderId="5" xfId="10" applyFont="1" applyBorder="1" applyAlignment="1">
      <alignment horizontal="right" vertical="center" wrapText="1" indent="1"/>
    </xf>
    <xf numFmtId="0" fontId="26" fillId="0" borderId="5" xfId="0" applyFont="1" applyBorder="1" applyAlignment="1">
      <alignment horizontal="right" vertical="center" wrapText="1" indent="1"/>
    </xf>
    <xf numFmtId="49" fontId="27" fillId="0" borderId="5" xfId="10" applyNumberFormat="1" applyFont="1" applyBorder="1" applyAlignment="1">
      <alignment horizontal="right" vertical="center" wrapText="1" indent="1"/>
    </xf>
    <xf numFmtId="49" fontId="27" fillId="0" borderId="37" xfId="10" applyNumberFormat="1" applyFont="1" applyBorder="1" applyAlignment="1">
      <alignment horizontal="right" vertical="center" wrapText="1" indent="1"/>
    </xf>
    <xf numFmtId="165" fontId="19" fillId="0" borderId="4" xfId="10" applyNumberFormat="1" applyFont="1" applyBorder="1" applyAlignment="1">
      <alignment horizontal="right" vertical="center" wrapText="1"/>
    </xf>
    <xf numFmtId="165" fontId="19" fillId="0" borderId="1" xfId="10" applyNumberFormat="1" applyFont="1" applyBorder="1" applyAlignment="1">
      <alignment horizontal="right" vertical="center" wrapText="1"/>
    </xf>
    <xf numFmtId="165" fontId="27" fillId="0" borderId="1" xfId="10" applyNumberFormat="1" applyFont="1" applyBorder="1" applyAlignment="1">
      <alignment horizontal="right" vertical="center" wrapText="1"/>
    </xf>
    <xf numFmtId="165" fontId="24" fillId="0" borderId="1" xfId="0" quotePrefix="1" applyNumberFormat="1" applyFont="1" applyBorder="1" applyAlignment="1">
      <alignment horizontal="right" vertical="center" wrapText="1"/>
    </xf>
    <xf numFmtId="0" fontId="21" fillId="0" borderId="2" xfId="10" applyFont="1" applyBorder="1" applyAlignment="1">
      <alignment horizontal="left" vertical="center"/>
    </xf>
    <xf numFmtId="0" fontId="21" fillId="0" borderId="15" xfId="10" applyFont="1" applyBorder="1" applyAlignment="1">
      <alignment horizontal="left" vertical="center" wrapText="1"/>
    </xf>
    <xf numFmtId="165" fontId="19" fillId="0" borderId="9" xfId="10" applyNumberFormat="1" applyFont="1" applyBorder="1" applyAlignment="1">
      <alignment horizontal="right" vertical="center" wrapText="1"/>
    </xf>
    <xf numFmtId="165" fontId="26" fillId="0" borderId="1" xfId="0" applyNumberFormat="1" applyFont="1" applyBorder="1" applyAlignment="1">
      <alignment horizontal="right" vertical="center" wrapText="1"/>
    </xf>
    <xf numFmtId="165" fontId="31" fillId="0" borderId="10" xfId="10" applyNumberFormat="1" applyFont="1" applyBorder="1" applyAlignment="1">
      <alignment horizontal="right" vertical="center" wrapText="1" indent="1"/>
    </xf>
    <xf numFmtId="1" fontId="27" fillId="0" borderId="5" xfId="10" applyNumberFormat="1" applyFont="1" applyBorder="1" applyAlignment="1">
      <alignment horizontal="right" vertical="center" wrapText="1" indent="1"/>
    </xf>
    <xf numFmtId="49" fontId="21" fillId="0" borderId="50" xfId="10" applyNumberFormat="1" applyFont="1" applyBorder="1" applyAlignment="1">
      <alignment horizontal="right" vertical="center" wrapText="1" indent="1"/>
    </xf>
    <xf numFmtId="49" fontId="21" fillId="0" borderId="51" xfId="10" applyNumberFormat="1" applyFont="1" applyBorder="1" applyAlignment="1">
      <alignment horizontal="right" vertical="center" wrapText="1" indent="1"/>
    </xf>
    <xf numFmtId="0" fontId="11" fillId="0" borderId="0" xfId="10" applyAlignment="1">
      <alignment horizontal="right" vertical="center"/>
    </xf>
    <xf numFmtId="165" fontId="21" fillId="0" borderId="19" xfId="10" applyNumberFormat="1" applyFont="1" applyBorder="1" applyAlignment="1" applyProtection="1">
      <alignment horizontal="right" vertical="center" wrapText="1"/>
      <protection locked="0"/>
    </xf>
    <xf numFmtId="165" fontId="21" fillId="0" borderId="2" xfId="10" applyNumberFormat="1" applyFont="1" applyBorder="1" applyAlignment="1" applyProtection="1">
      <alignment horizontal="right" vertical="center" wrapText="1"/>
      <protection locked="0"/>
    </xf>
    <xf numFmtId="165" fontId="21" fillId="0" borderId="3" xfId="10" applyNumberFormat="1" applyFont="1" applyBorder="1" applyAlignment="1" applyProtection="1">
      <alignment horizontal="right" vertical="center" wrapText="1"/>
      <protection locked="0"/>
    </xf>
    <xf numFmtId="0" fontId="31" fillId="0" borderId="2" xfId="1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165" fontId="7" fillId="0" borderId="41" xfId="10" applyNumberFormat="1" applyFont="1" applyBorder="1" applyAlignment="1">
      <alignment horizontal="right" vertical="center" wrapText="1"/>
    </xf>
    <xf numFmtId="0" fontId="21" fillId="0" borderId="41" xfId="10" applyFont="1" applyBorder="1" applyAlignment="1" applyProtection="1">
      <alignment horizontal="right" vertical="center" wrapText="1"/>
      <protection locked="0"/>
    </xf>
    <xf numFmtId="165" fontId="28" fillId="0" borderId="41" xfId="10" applyNumberFormat="1" applyFont="1" applyBorder="1" applyAlignment="1" applyProtection="1">
      <alignment horizontal="right" vertical="center" wrapText="1"/>
      <protection locked="0"/>
    </xf>
    <xf numFmtId="0" fontId="21" fillId="0" borderId="4" xfId="10" applyFont="1" applyBorder="1" applyAlignment="1">
      <alignment horizontal="left" vertical="center" wrapText="1"/>
    </xf>
    <xf numFmtId="165" fontId="21" fillId="0" borderId="25" xfId="10" applyNumberFormat="1" applyFont="1" applyBorder="1" applyAlignment="1" applyProtection="1">
      <alignment horizontal="right" vertical="center" wrapText="1"/>
      <protection locked="0"/>
    </xf>
    <xf numFmtId="165" fontId="21" fillId="0" borderId="15" xfId="10" applyNumberFormat="1" applyFont="1" applyBorder="1" applyAlignment="1" applyProtection="1">
      <alignment horizontal="right" vertical="center" wrapText="1"/>
      <protection locked="0"/>
    </xf>
    <xf numFmtId="165" fontId="26" fillId="0" borderId="1" xfId="0" applyNumberFormat="1" applyFont="1" applyBorder="1" applyAlignment="1" applyProtection="1">
      <alignment horizontal="right" vertical="center" wrapText="1"/>
      <protection locked="0"/>
    </xf>
    <xf numFmtId="0" fontId="26" fillId="0" borderId="9" xfId="0" applyFont="1" applyBorder="1" applyAlignment="1">
      <alignment horizontal="left" vertical="center" wrapText="1"/>
    </xf>
    <xf numFmtId="0" fontId="11" fillId="0" borderId="0" xfId="10" applyAlignment="1">
      <alignment vertical="center"/>
    </xf>
    <xf numFmtId="0" fontId="11" fillId="0" borderId="0" xfId="10" applyAlignment="1">
      <alignment horizontal="right" indent="1"/>
    </xf>
    <xf numFmtId="0" fontId="8" fillId="0" borderId="5" xfId="10" applyFont="1" applyBorder="1" applyAlignment="1">
      <alignment horizontal="right" vertical="center" wrapText="1" indent="1"/>
    </xf>
    <xf numFmtId="0" fontId="7" fillId="0" borderId="41" xfId="10" applyFont="1" applyBorder="1" applyAlignment="1">
      <alignment horizontal="right" vertical="center" wrapText="1" indent="1"/>
    </xf>
    <xf numFmtId="165" fontId="65" fillId="0" borderId="0" xfId="10" applyNumberFormat="1" applyFont="1" applyAlignment="1">
      <alignment horizontal="right" vertical="center" indent="1"/>
    </xf>
    <xf numFmtId="0" fontId="11" fillId="0" borderId="0" xfId="10" applyAlignment="1" applyProtection="1">
      <alignment vertical="center"/>
      <protection locked="0"/>
    </xf>
    <xf numFmtId="0" fontId="11" fillId="0" borderId="0" xfId="10" applyAlignment="1" applyProtection="1">
      <alignment horizontal="right" vertical="center"/>
      <protection locked="0"/>
    </xf>
    <xf numFmtId="0" fontId="28" fillId="0" borderId="0" xfId="10" applyFont="1" applyAlignment="1" applyProtection="1">
      <alignment vertical="center"/>
      <protection locked="0"/>
    </xf>
    <xf numFmtId="0" fontId="11" fillId="0" borderId="0" xfId="10" applyAlignment="1" applyProtection="1">
      <alignment horizontal="right" indent="1"/>
      <protection locked="0"/>
    </xf>
    <xf numFmtId="0" fontId="8" fillId="0" borderId="38" xfId="10" applyFont="1" applyBorder="1" applyAlignment="1">
      <alignment horizontal="right" vertical="center" wrapText="1" indent="1"/>
    </xf>
    <xf numFmtId="0" fontId="7" fillId="0" borderId="0" xfId="10" applyFont="1" applyAlignment="1">
      <alignment horizontal="right" vertical="center" wrapText="1" indent="1"/>
    </xf>
    <xf numFmtId="0" fontId="4" fillId="0" borderId="5" xfId="10" applyFont="1" applyBorder="1" applyAlignment="1">
      <alignment horizontal="right" vertical="center" wrapText="1" indent="1"/>
    </xf>
    <xf numFmtId="0" fontId="28" fillId="0" borderId="0" xfId="10" applyFont="1" applyAlignment="1" applyProtection="1">
      <alignment horizontal="right" vertical="center" indent="1"/>
      <protection locked="0"/>
    </xf>
    <xf numFmtId="0" fontId="20" fillId="0" borderId="23" xfId="0" applyFont="1" applyBorder="1" applyAlignment="1" applyProtection="1">
      <alignment horizontal="right" vertical="center" indent="1"/>
      <protection locked="0"/>
    </xf>
    <xf numFmtId="0" fontId="8" fillId="0" borderId="7" xfId="10" applyFont="1" applyBorder="1" applyAlignment="1" applyProtection="1">
      <alignment horizontal="right" vertical="center" wrapText="1" indent="1"/>
      <protection locked="0"/>
    </xf>
    <xf numFmtId="0" fontId="20" fillId="0" borderId="23" xfId="0" applyFont="1" applyBorder="1" applyAlignment="1">
      <alignment horizontal="right" vertical="center" indent="1"/>
    </xf>
    <xf numFmtId="0" fontId="4" fillId="0" borderId="7" xfId="10" applyFont="1" applyBorder="1" applyAlignment="1">
      <alignment horizontal="right" vertical="center" wrapText="1" indent="1"/>
    </xf>
    <xf numFmtId="0" fontId="21" fillId="0" borderId="19" xfId="10" applyFont="1" applyBorder="1" applyAlignment="1">
      <alignment horizontal="left" vertical="center" wrapText="1" indent="5"/>
    </xf>
    <xf numFmtId="0" fontId="21" fillId="0" borderId="2" xfId="10" applyFont="1" applyBorder="1" applyAlignment="1">
      <alignment horizontal="left" vertical="center" wrapText="1" indent="5"/>
    </xf>
    <xf numFmtId="0" fontId="20" fillId="0" borderId="0" xfId="0" applyFont="1" applyAlignment="1">
      <alignment horizontal="right" vertical="center"/>
    </xf>
    <xf numFmtId="0" fontId="14" fillId="0" borderId="19" xfId="10" applyFont="1" applyBorder="1" applyAlignment="1" applyProtection="1">
      <alignment horizontal="left" vertical="center"/>
      <protection locked="0"/>
    </xf>
    <xf numFmtId="166" fontId="43" fillId="0" borderId="19" xfId="1" applyNumberFormat="1" applyFont="1" applyFill="1" applyBorder="1" applyAlignment="1" applyProtection="1">
      <alignment vertical="center"/>
      <protection locked="0"/>
    </xf>
    <xf numFmtId="166" fontId="43" fillId="0" borderId="14" xfId="1" applyNumberFormat="1" applyFont="1" applyFill="1" applyBorder="1" applyAlignment="1">
      <alignment vertical="center"/>
    </xf>
    <xf numFmtId="0" fontId="14" fillId="0" borderId="2" xfId="10" applyFont="1" applyBorder="1" applyAlignment="1" applyProtection="1">
      <alignment horizontal="left" vertical="center"/>
      <protection locked="0"/>
    </xf>
    <xf numFmtId="166" fontId="43" fillId="0" borderId="2" xfId="1" applyNumberFormat="1" applyFont="1" applyFill="1" applyBorder="1" applyAlignment="1" applyProtection="1">
      <alignment vertical="center"/>
      <protection locked="0"/>
    </xf>
    <xf numFmtId="166" fontId="43" fillId="0" borderId="10" xfId="1" applyNumberFormat="1" applyFont="1" applyFill="1" applyBorder="1" applyAlignment="1">
      <alignment vertical="center"/>
    </xf>
    <xf numFmtId="0" fontId="14" fillId="0" borderId="3" xfId="10" applyFont="1" applyBorder="1" applyAlignment="1" applyProtection="1">
      <alignment horizontal="left" vertical="center"/>
      <protection locked="0"/>
    </xf>
    <xf numFmtId="166" fontId="43" fillId="0" borderId="3" xfId="1" applyNumberFormat="1" applyFont="1" applyFill="1" applyBorder="1" applyAlignment="1" applyProtection="1">
      <alignment vertical="center"/>
      <protection locked="0"/>
    </xf>
    <xf numFmtId="0" fontId="30" fillId="0" borderId="1" xfId="10" applyFont="1" applyBorder="1" applyAlignment="1">
      <alignment vertical="center"/>
    </xf>
    <xf numFmtId="166" fontId="44" fillId="0" borderId="1" xfId="10" applyNumberFormat="1" applyFont="1" applyBorder="1" applyAlignment="1">
      <alignment vertical="center"/>
    </xf>
    <xf numFmtId="166" fontId="44" fillId="0" borderId="7" xfId="10" applyNumberFormat="1" applyFont="1" applyBorder="1" applyAlignment="1">
      <alignment vertical="center"/>
    </xf>
    <xf numFmtId="0" fontId="28" fillId="0" borderId="19" xfId="10" applyFont="1" applyBorder="1" applyAlignment="1">
      <alignment vertical="center"/>
    </xf>
    <xf numFmtId="166" fontId="28" fillId="0" borderId="52" xfId="1" applyNumberFormat="1" applyFont="1" applyFill="1" applyBorder="1" applyAlignment="1" applyProtection="1">
      <alignment vertical="center"/>
      <protection locked="0"/>
    </xf>
    <xf numFmtId="0" fontId="37" fillId="0" borderId="2" xfId="0" applyFont="1" applyBorder="1" applyAlignment="1">
      <alignment horizontal="justify" vertical="center" wrapText="1"/>
    </xf>
    <xf numFmtId="166" fontId="28" fillId="0" borderId="29" xfId="1" applyNumberFormat="1" applyFont="1" applyFill="1" applyBorder="1" applyAlignment="1" applyProtection="1">
      <alignment vertical="center"/>
      <protection locked="0"/>
    </xf>
    <xf numFmtId="0" fontId="37" fillId="0" borderId="2" xfId="0" applyFont="1" applyBorder="1" applyAlignment="1">
      <alignment vertical="center" wrapText="1"/>
    </xf>
    <xf numFmtId="166" fontId="28" fillId="0" borderId="30" xfId="1" applyNumberFormat="1" applyFont="1" applyFill="1" applyBorder="1" applyAlignment="1" applyProtection="1">
      <alignment vertical="center"/>
      <protection locked="0"/>
    </xf>
    <xf numFmtId="0" fontId="37" fillId="0" borderId="15" xfId="0" applyFont="1" applyBorder="1" applyAlignment="1">
      <alignment vertical="center" wrapText="1"/>
    </xf>
    <xf numFmtId="166" fontId="27" fillId="0" borderId="7" xfId="1" applyNumberFormat="1" applyFont="1" applyFill="1" applyBorder="1" applyAlignment="1" applyProtection="1">
      <alignment vertical="center"/>
    </xf>
    <xf numFmtId="0" fontId="28" fillId="0" borderId="25" xfId="10" applyFont="1" applyBorder="1" applyAlignment="1" applyProtection="1">
      <alignment horizontal="left" vertical="center"/>
      <protection locked="0"/>
    </xf>
    <xf numFmtId="166" fontId="28" fillId="0" borderId="26" xfId="1" applyNumberFormat="1" applyFont="1" applyFill="1" applyBorder="1" applyAlignment="1" applyProtection="1">
      <alignment vertical="center"/>
      <protection locked="0"/>
    </xf>
    <xf numFmtId="0" fontId="28" fillId="0" borderId="2" xfId="10" applyFont="1" applyBorder="1" applyAlignment="1" applyProtection="1">
      <alignment horizontal="left" vertical="center"/>
      <protection locked="0"/>
    </xf>
    <xf numFmtId="166" fontId="28" fillId="0" borderId="10" xfId="1" applyNumberFormat="1" applyFont="1" applyFill="1" applyBorder="1" applyAlignment="1" applyProtection="1">
      <alignment vertical="center"/>
      <protection locked="0"/>
    </xf>
    <xf numFmtId="0" fontId="28" fillId="0" borderId="3" xfId="10" applyFont="1" applyBorder="1" applyAlignment="1" applyProtection="1">
      <alignment horizontal="left" vertical="center"/>
      <protection locked="0"/>
    </xf>
    <xf numFmtId="166" fontId="28" fillId="0" borderId="12" xfId="1" applyNumberFormat="1" applyFont="1" applyFill="1" applyBorder="1" applyAlignment="1" applyProtection="1">
      <alignment vertical="center"/>
      <protection locked="0"/>
    </xf>
    <xf numFmtId="165" fontId="6" fillId="0" borderId="0" xfId="0" applyNumberFormat="1" applyFont="1" applyAlignment="1" applyProtection="1">
      <alignment horizontal="right" vertical="center" wrapText="1"/>
      <protection locked="0"/>
    </xf>
    <xf numFmtId="165" fontId="21" fillId="0" borderId="11" xfId="0" applyNumberFormat="1" applyFont="1" applyBorder="1" applyAlignment="1" applyProtection="1">
      <alignment horizontal="left" vertical="center" wrapText="1"/>
      <protection locked="0"/>
    </xf>
    <xf numFmtId="165" fontId="18" fillId="0" borderId="6" xfId="0" applyNumberFormat="1" applyFont="1" applyBorder="1" applyAlignment="1" applyProtection="1">
      <alignment horizontal="left" vertical="center" wrapText="1"/>
      <protection locked="0"/>
    </xf>
    <xf numFmtId="165" fontId="18" fillId="0" borderId="11" xfId="0" applyNumberFormat="1" applyFont="1" applyBorder="1" applyAlignment="1" applyProtection="1">
      <alignment horizontal="left" vertical="center" wrapText="1"/>
      <protection locked="0"/>
    </xf>
    <xf numFmtId="165" fontId="36" fillId="0" borderId="53" xfId="7" applyNumberFormat="1" applyFont="1" applyBorder="1" applyAlignment="1">
      <alignment horizontal="right" vertical="center"/>
    </xf>
    <xf numFmtId="165" fontId="36" fillId="0" borderId="53" xfId="7" applyNumberFormat="1" applyFont="1" applyBorder="1" applyAlignment="1" applyProtection="1">
      <alignment horizontal="right" vertical="center" wrapText="1"/>
      <protection locked="0"/>
    </xf>
    <xf numFmtId="165" fontId="36" fillId="0" borderId="54" xfId="7" applyNumberFormat="1" applyFont="1" applyBorder="1" applyAlignment="1" applyProtection="1">
      <alignment horizontal="right" vertical="center" wrapText="1"/>
      <protection locked="0"/>
    </xf>
    <xf numFmtId="165" fontId="55" fillId="0" borderId="35" xfId="7" applyNumberFormat="1" applyFont="1" applyBorder="1" applyAlignment="1">
      <alignment horizontal="right" vertical="center"/>
    </xf>
    <xf numFmtId="165" fontId="55" fillId="0" borderId="35" xfId="7" applyNumberFormat="1" applyFont="1" applyBorder="1" applyAlignment="1" applyProtection="1">
      <alignment horizontal="right" vertical="center" wrapText="1"/>
      <protection locked="0"/>
    </xf>
    <xf numFmtId="165" fontId="36" fillId="0" borderId="35" xfId="7" applyNumberFormat="1" applyFont="1" applyBorder="1" applyAlignment="1">
      <alignment horizontal="right" vertical="center"/>
    </xf>
    <xf numFmtId="165" fontId="36" fillId="0" borderId="35" xfId="7" applyNumberFormat="1" applyFont="1" applyBorder="1" applyAlignment="1" applyProtection="1">
      <alignment horizontal="right" vertical="center" wrapText="1"/>
      <protection locked="0"/>
    </xf>
    <xf numFmtId="165" fontId="29" fillId="0" borderId="13" xfId="7" applyNumberFormat="1" applyFont="1" applyBorder="1" applyAlignment="1">
      <alignment horizontal="right" vertical="center"/>
    </xf>
    <xf numFmtId="165" fontId="29" fillId="0" borderId="13" xfId="7" applyNumberFormat="1" applyFont="1" applyBorder="1" applyAlignment="1">
      <alignment horizontal="right" vertical="center" wrapText="1"/>
    </xf>
    <xf numFmtId="165" fontId="36" fillId="0" borderId="36" xfId="7" applyNumberFormat="1" applyFont="1" applyBorder="1" applyAlignment="1">
      <alignment horizontal="right" vertical="center"/>
    </xf>
    <xf numFmtId="165" fontId="36" fillId="0" borderId="36" xfId="7" applyNumberFormat="1" applyFont="1" applyBorder="1" applyAlignment="1" applyProtection="1">
      <alignment horizontal="right" vertical="center" wrapText="1"/>
      <protection locked="0"/>
    </xf>
    <xf numFmtId="165" fontId="36" fillId="0" borderId="55" xfId="7" applyNumberFormat="1" applyFont="1" applyBorder="1" applyAlignment="1" applyProtection="1">
      <alignment horizontal="right" vertical="center" wrapText="1"/>
      <protection locked="0"/>
    </xf>
    <xf numFmtId="165" fontId="19" fillId="0" borderId="13" xfId="0" applyNumberFormat="1" applyFont="1" applyBorder="1" applyAlignment="1">
      <alignment horizontal="left" vertical="center" wrapText="1"/>
    </xf>
    <xf numFmtId="165" fontId="21" fillId="0" borderId="35" xfId="0" applyNumberFormat="1" applyFont="1" applyBorder="1" applyAlignment="1" applyProtection="1">
      <alignment horizontal="left" vertical="center" wrapText="1"/>
      <protection locked="0"/>
    </xf>
    <xf numFmtId="165" fontId="21" fillId="0" borderId="36" xfId="0" applyNumberFormat="1" applyFont="1" applyBorder="1" applyAlignment="1" applyProtection="1">
      <alignment horizontal="left" vertical="center" wrapText="1"/>
      <protection locked="0"/>
    </xf>
    <xf numFmtId="165" fontId="27" fillId="0" borderId="13" xfId="0" applyNumberFormat="1" applyFont="1" applyBorder="1" applyAlignment="1">
      <alignment horizontal="left" vertical="center" wrapText="1"/>
    </xf>
    <xf numFmtId="165" fontId="21" fillId="0" borderId="45" xfId="0" applyNumberFormat="1" applyFont="1" applyBorder="1" applyAlignment="1" applyProtection="1">
      <alignment horizontal="left" vertical="center" wrapText="1"/>
      <protection locked="0"/>
    </xf>
    <xf numFmtId="165" fontId="43" fillId="2" borderId="33" xfId="0" applyNumberFormat="1" applyFont="1" applyFill="1" applyBorder="1" applyAlignment="1">
      <alignment horizontal="left" vertical="center" wrapText="1"/>
    </xf>
    <xf numFmtId="49" fontId="21" fillId="0" borderId="56" xfId="10" applyNumberFormat="1" applyFont="1" applyBorder="1" applyAlignment="1">
      <alignment horizontal="right" vertical="center" wrapText="1" indent="1"/>
    </xf>
    <xf numFmtId="165" fontId="21" fillId="0" borderId="8" xfId="0" applyNumberFormat="1" applyFont="1" applyBorder="1" applyAlignment="1">
      <alignment horizontal="left" vertical="center" wrapText="1" indent="1"/>
    </xf>
    <xf numFmtId="49" fontId="19" fillId="0" borderId="5" xfId="10" applyNumberFormat="1" applyFont="1" applyBorder="1" applyAlignment="1">
      <alignment horizontal="right" vertical="center" wrapText="1" indent="1"/>
    </xf>
    <xf numFmtId="165" fontId="19" fillId="0" borderId="5" xfId="0" applyNumberFormat="1" applyFont="1" applyBorder="1" applyAlignment="1">
      <alignment horizontal="left" vertical="center" wrapText="1" indent="1"/>
    </xf>
    <xf numFmtId="165" fontId="56" fillId="0" borderId="44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left" vertical="center" wrapText="1" indent="3"/>
    </xf>
    <xf numFmtId="165" fontId="56" fillId="0" borderId="2" xfId="0" applyNumberFormat="1" applyFont="1" applyBorder="1" applyAlignment="1">
      <alignment horizontal="right" vertical="center" wrapText="1" indent="1"/>
    </xf>
    <xf numFmtId="165" fontId="21" fillId="0" borderId="37" xfId="0" applyNumberFormat="1" applyFont="1" applyBorder="1" applyAlignment="1">
      <alignment horizontal="left" vertical="center" wrapText="1" indent="3"/>
    </xf>
    <xf numFmtId="49" fontId="19" fillId="0" borderId="32" xfId="10" applyNumberFormat="1" applyFont="1" applyBorder="1" applyAlignment="1">
      <alignment horizontal="right" vertical="center" wrapText="1" indent="1"/>
    </xf>
    <xf numFmtId="165" fontId="56" fillId="0" borderId="37" xfId="0" applyNumberFormat="1" applyFont="1" applyBorder="1" applyAlignment="1">
      <alignment horizontal="left" vertical="center" wrapText="1" indent="1"/>
    </xf>
    <xf numFmtId="165" fontId="56" fillId="0" borderId="19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left" vertical="center" wrapText="1" indent="2"/>
    </xf>
    <xf numFmtId="165" fontId="56" fillId="0" borderId="6" xfId="0" applyNumberFormat="1" applyFont="1" applyBorder="1" applyAlignment="1">
      <alignment horizontal="left" vertical="center" wrapText="1" indent="1"/>
    </xf>
    <xf numFmtId="0" fontId="8" fillId="0" borderId="13" xfId="10" applyFont="1" applyBorder="1" applyAlignment="1">
      <alignment horizontal="center" vertical="center" wrapText="1"/>
    </xf>
    <xf numFmtId="0" fontId="19" fillId="0" borderId="13" xfId="10" applyFont="1" applyBorder="1" applyAlignment="1">
      <alignment horizontal="center" vertical="center" wrapText="1"/>
    </xf>
    <xf numFmtId="165" fontId="19" fillId="0" borderId="13" xfId="10" applyNumberFormat="1" applyFont="1" applyBorder="1" applyAlignment="1">
      <alignment horizontal="right" vertical="center" wrapText="1"/>
    </xf>
    <xf numFmtId="165" fontId="21" fillId="0" borderId="45" xfId="10" applyNumberFormat="1" applyFont="1" applyBorder="1" applyAlignment="1" applyProtection="1">
      <alignment horizontal="right" vertical="center" wrapText="1"/>
      <protection locked="0"/>
    </xf>
    <xf numFmtId="165" fontId="21" fillId="0" borderId="35" xfId="10" applyNumberFormat="1" applyFont="1" applyBorder="1" applyAlignment="1" applyProtection="1">
      <alignment horizontal="right" vertical="center" wrapText="1"/>
      <protection locked="0"/>
    </xf>
    <xf numFmtId="165" fontId="21" fillId="0" borderId="36" xfId="10" applyNumberFormat="1" applyFont="1" applyBorder="1" applyAlignment="1" applyProtection="1">
      <alignment horizontal="right" vertical="center" wrapText="1"/>
      <protection locked="0"/>
    </xf>
    <xf numFmtId="165" fontId="27" fillId="0" borderId="13" xfId="10" applyNumberFormat="1" applyFont="1" applyBorder="1" applyAlignment="1">
      <alignment horizontal="right" vertical="center" wrapText="1"/>
    </xf>
    <xf numFmtId="165" fontId="28" fillId="0" borderId="35" xfId="10" applyNumberFormat="1" applyFont="1" applyBorder="1" applyAlignment="1" applyProtection="1">
      <alignment horizontal="right" vertical="center" wrapText="1"/>
      <protection locked="0"/>
    </xf>
    <xf numFmtId="165" fontId="28" fillId="0" borderId="36" xfId="10" applyNumberFormat="1" applyFont="1" applyBorder="1" applyAlignment="1" applyProtection="1">
      <alignment horizontal="right" vertical="center" wrapText="1"/>
      <protection locked="0"/>
    </xf>
    <xf numFmtId="165" fontId="28" fillId="0" borderId="45" xfId="10" applyNumberFormat="1" applyFont="1" applyBorder="1" applyAlignment="1" applyProtection="1">
      <alignment horizontal="right" vertical="center" wrapText="1"/>
      <protection locked="0"/>
    </xf>
    <xf numFmtId="165" fontId="19" fillId="0" borderId="13" xfId="10" applyNumberFormat="1" applyFont="1" applyBorder="1" applyAlignment="1" applyProtection="1">
      <alignment horizontal="right" vertical="center" wrapText="1"/>
      <protection locked="0"/>
    </xf>
    <xf numFmtId="0" fontId="8" fillId="0" borderId="7" xfId="10" applyFont="1" applyBorder="1" applyAlignment="1">
      <alignment horizontal="center" vertical="center" wrapText="1"/>
    </xf>
    <xf numFmtId="0" fontId="19" fillId="0" borderId="7" xfId="10" applyFont="1" applyBorder="1" applyAlignment="1">
      <alignment horizontal="center" vertical="center" wrapText="1"/>
    </xf>
    <xf numFmtId="0" fontId="19" fillId="0" borderId="7" xfId="1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40" xfId="0" applyFont="1" applyBorder="1" applyAlignment="1">
      <alignment horizontal="left" vertical="center" wrapText="1"/>
    </xf>
    <xf numFmtId="0" fontId="31" fillId="0" borderId="10" xfId="1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5" fillId="0" borderId="12" xfId="0" applyFont="1" applyBorder="1" applyAlignment="1">
      <alignment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26" xfId="0" applyFont="1" applyBorder="1" applyAlignment="1">
      <alignment horizontal="left" vertical="center" wrapText="1"/>
    </xf>
    <xf numFmtId="0" fontId="26" fillId="0" borderId="7" xfId="0" applyFont="1" applyBorder="1" applyAlignment="1">
      <alignment vertical="center" wrapText="1"/>
    </xf>
    <xf numFmtId="0" fontId="26" fillId="0" borderId="27" xfId="0" applyFont="1" applyBorder="1" applyAlignment="1">
      <alignment vertical="center" wrapText="1"/>
    </xf>
    <xf numFmtId="0" fontId="14" fillId="0" borderId="0" xfId="10" applyFont="1" applyAlignment="1">
      <alignment horizontal="center" vertical="top"/>
    </xf>
    <xf numFmtId="0" fontId="4" fillId="0" borderId="5" xfId="10" applyFont="1" applyBorder="1" applyAlignment="1">
      <alignment horizontal="center" vertical="top" wrapText="1"/>
    </xf>
    <xf numFmtId="0" fontId="8" fillId="0" borderId="5" xfId="10" applyFont="1" applyBorder="1" applyAlignment="1" applyProtection="1">
      <alignment horizontal="center" vertical="center" wrapText="1"/>
      <protection locked="0"/>
    </xf>
    <xf numFmtId="165" fontId="21" fillId="0" borderId="40" xfId="10" applyNumberFormat="1" applyFont="1" applyBorder="1" applyAlignment="1" applyProtection="1">
      <alignment horizontal="right" vertical="center" wrapText="1" indent="1"/>
      <protection locked="0"/>
    </xf>
    <xf numFmtId="165" fontId="28" fillId="0" borderId="37" xfId="0" applyNumberFormat="1" applyFont="1" applyBorder="1" applyAlignment="1" applyProtection="1">
      <alignment horizontal="left" vertical="center" wrapText="1"/>
      <protection locked="0"/>
    </xf>
    <xf numFmtId="165" fontId="25" fillId="0" borderId="57" xfId="0" applyNumberFormat="1" applyFont="1" applyBorder="1" applyAlignment="1" applyProtection="1">
      <alignment horizontal="right" vertical="top" wrapText="1"/>
      <protection locked="0"/>
    </xf>
    <xf numFmtId="165" fontId="26" fillId="0" borderId="7" xfId="0" applyNumberFormat="1" applyFont="1" applyBorder="1" applyAlignment="1">
      <alignment horizontal="right" vertical="top" wrapText="1"/>
    </xf>
    <xf numFmtId="0" fontId="24" fillId="0" borderId="5" xfId="0" applyFont="1" applyBorder="1" applyAlignment="1">
      <alignment vertical="top" wrapText="1"/>
    </xf>
    <xf numFmtId="165" fontId="31" fillId="0" borderId="35" xfId="10" applyNumberFormat="1" applyFont="1" applyBorder="1" applyAlignment="1">
      <alignment horizontal="right" vertical="center" wrapText="1"/>
    </xf>
    <xf numFmtId="0" fontId="29" fillId="0" borderId="38" xfId="11" applyFont="1" applyBorder="1" applyAlignment="1">
      <alignment horizontal="center" vertical="top" wrapText="1"/>
    </xf>
    <xf numFmtId="165" fontId="11" fillId="0" borderId="0" xfId="10" applyNumberFormat="1"/>
    <xf numFmtId="0" fontId="27" fillId="0" borderId="5" xfId="11" applyFont="1" applyBorder="1" applyAlignment="1">
      <alignment horizontal="left" vertical="center" indent="1"/>
    </xf>
    <xf numFmtId="49" fontId="0" fillId="0" borderId="13" xfId="0" applyNumberFormat="1" applyBorder="1" applyAlignment="1" applyProtection="1">
      <alignment horizontal="center" vertical="top"/>
      <protection locked="0"/>
    </xf>
    <xf numFmtId="0" fontId="25" fillId="8" borderId="2" xfId="9" applyFont="1" applyFill="1" applyBorder="1" applyAlignment="1">
      <alignment wrapText="1"/>
    </xf>
    <xf numFmtId="165" fontId="21" fillId="0" borderId="2" xfId="8" applyNumberFormat="1" applyFont="1" applyBorder="1" applyAlignment="1" applyProtection="1">
      <alignment vertical="center" wrapText="1"/>
      <protection locked="0"/>
    </xf>
    <xf numFmtId="49" fontId="21" fillId="0" borderId="2" xfId="8" applyNumberFormat="1" applyFont="1" applyBorder="1" applyAlignment="1" applyProtection="1">
      <alignment horizontal="center" vertical="center" wrapText="1"/>
      <protection locked="0"/>
    </xf>
    <xf numFmtId="165" fontId="21" fillId="0" borderId="6" xfId="8" applyNumberFormat="1" applyFont="1" applyBorder="1" applyAlignment="1" applyProtection="1">
      <alignment horizontal="left" vertical="center" wrapText="1"/>
      <protection locked="0"/>
    </xf>
    <xf numFmtId="0" fontId="50" fillId="0" borderId="2" xfId="0" applyFont="1" applyBorder="1"/>
    <xf numFmtId="49" fontId="50" fillId="0" borderId="2" xfId="0" applyNumberFormat="1" applyFont="1" applyBorder="1"/>
    <xf numFmtId="49" fontId="50" fillId="0" borderId="47" xfId="0" applyNumberFormat="1" applyFont="1" applyBorder="1" applyAlignment="1" applyProtection="1">
      <alignment horizontal="center" vertical="top"/>
      <protection locked="0"/>
    </xf>
    <xf numFmtId="0" fontId="57" fillId="0" borderId="8" xfId="0" applyFont="1" applyBorder="1" applyAlignment="1">
      <alignment vertical="top" wrapText="1"/>
    </xf>
    <xf numFmtId="165" fontId="25" fillId="0" borderId="26" xfId="0" applyNumberFormat="1" applyFont="1" applyBorder="1" applyAlignment="1" applyProtection="1">
      <alignment horizontal="right" vertical="top" wrapText="1"/>
      <protection locked="0"/>
    </xf>
    <xf numFmtId="165" fontId="25" fillId="0" borderId="10" xfId="0" applyNumberFormat="1" applyFont="1" applyBorder="1" applyAlignment="1" applyProtection="1">
      <alignment horizontal="right" vertical="top" wrapText="1"/>
      <protection locked="0"/>
    </xf>
    <xf numFmtId="0" fontId="52" fillId="9" borderId="3" xfId="10" applyFont="1" applyFill="1" applyBorder="1" applyAlignment="1">
      <alignment horizontal="left" vertical="center" wrapText="1" indent="1"/>
    </xf>
    <xf numFmtId="49" fontId="25" fillId="0" borderId="2" xfId="0" applyNumberFormat="1" applyFont="1" applyBorder="1" applyAlignment="1" applyProtection="1">
      <alignment horizontal="left" vertical="center" wrapText="1" indent="1"/>
      <protection locked="0"/>
    </xf>
    <xf numFmtId="0" fontId="25" fillId="0" borderId="2" xfId="0" applyFont="1" applyBorder="1" applyAlignment="1" applyProtection="1">
      <alignment horizontal="left" vertical="center" wrapText="1" indent="1"/>
      <protection locked="0"/>
    </xf>
    <xf numFmtId="0" fontId="25" fillId="0" borderId="2" xfId="0" applyFont="1" applyBorder="1" applyAlignment="1" applyProtection="1">
      <alignment horizontal="left" vertical="center" indent="1"/>
      <protection locked="0"/>
    </xf>
    <xf numFmtId="0" fontId="25" fillId="0" borderId="2" xfId="10" applyFont="1" applyBorder="1" applyAlignment="1">
      <alignment horizontal="left" vertical="top" wrapText="1"/>
    </xf>
    <xf numFmtId="0" fontId="27" fillId="9" borderId="4" xfId="0" applyFont="1" applyFill="1" applyBorder="1" applyAlignment="1">
      <alignment horizontal="center" vertical="center"/>
    </xf>
    <xf numFmtId="3" fontId="27" fillId="9" borderId="17" xfId="0" applyNumberFormat="1" applyFont="1" applyFill="1" applyBorder="1" applyAlignment="1">
      <alignment horizontal="center" vertical="center" wrapText="1"/>
    </xf>
    <xf numFmtId="0" fontId="52" fillId="9" borderId="2" xfId="10" applyFont="1" applyFill="1" applyBorder="1" applyAlignment="1">
      <alignment horizontal="left" indent="1"/>
    </xf>
    <xf numFmtId="0" fontId="25" fillId="0" borderId="2" xfId="10" applyFont="1" applyBorder="1" applyAlignment="1">
      <alignment vertical="center" wrapText="1"/>
    </xf>
    <xf numFmtId="3" fontId="25" fillId="0" borderId="10" xfId="0" applyNumberFormat="1" applyFont="1" applyBorder="1" applyAlignment="1" applyProtection="1">
      <alignment horizontal="right" vertical="center" indent="1"/>
      <protection locked="0"/>
    </xf>
    <xf numFmtId="0" fontId="57" fillId="10" borderId="2" xfId="0" applyFont="1" applyFill="1" applyBorder="1"/>
    <xf numFmtId="165" fontId="26" fillId="10" borderId="10" xfId="0" applyNumberFormat="1" applyFont="1" applyFill="1" applyBorder="1" applyAlignment="1" applyProtection="1">
      <alignment horizontal="right" vertical="top" wrapText="1"/>
      <protection locked="0"/>
    </xf>
    <xf numFmtId="165" fontId="26" fillId="10" borderId="14" xfId="0" applyNumberFormat="1" applyFont="1" applyFill="1" applyBorder="1" applyAlignment="1" applyProtection="1">
      <alignment horizontal="right" vertical="top" wrapText="1"/>
      <protection locked="0"/>
    </xf>
    <xf numFmtId="0" fontId="28" fillId="9" borderId="2" xfId="0" applyFont="1" applyFill="1" applyBorder="1" applyAlignment="1" applyProtection="1">
      <alignment horizontal="left" vertical="center" indent="1"/>
      <protection locked="0"/>
    </xf>
    <xf numFmtId="165" fontId="57" fillId="11" borderId="54" xfId="0" applyNumberFormat="1" applyFont="1" applyFill="1" applyBorder="1" applyAlignment="1">
      <alignment horizontal="center" vertical="center" wrapText="1"/>
    </xf>
    <xf numFmtId="0" fontId="50" fillId="9" borderId="2" xfId="0" applyFont="1" applyFill="1" applyBorder="1" applyAlignment="1">
      <alignment horizontal="center" vertical="top" wrapText="1"/>
    </xf>
    <xf numFmtId="0" fontId="50" fillId="0" borderId="6" xfId="0" applyFont="1" applyBorder="1" applyAlignment="1">
      <alignment horizontal="center" vertical="top" wrapText="1"/>
    </xf>
    <xf numFmtId="0" fontId="50" fillId="0" borderId="39" xfId="0" applyFont="1" applyBorder="1" applyAlignment="1">
      <alignment horizontal="left" vertical="top" wrapText="1"/>
    </xf>
    <xf numFmtId="3" fontId="50" fillId="0" borderId="2" xfId="0" applyNumberFormat="1" applyFont="1" applyBorder="1" applyAlignment="1">
      <alignment horizontal="right" vertical="top" wrapText="1"/>
    </xf>
    <xf numFmtId="0" fontId="50" fillId="9" borderId="6" xfId="0" applyFont="1" applyFill="1" applyBorder="1" applyAlignment="1">
      <alignment horizontal="center" vertical="top" wrapText="1"/>
    </xf>
    <xf numFmtId="0" fontId="57" fillId="9" borderId="39" xfId="0" applyFont="1" applyFill="1" applyBorder="1" applyAlignment="1">
      <alignment horizontal="left" vertical="top" wrapText="1"/>
    </xf>
    <xf numFmtId="3" fontId="57" fillId="9" borderId="2" xfId="0" applyNumberFormat="1" applyFont="1" applyFill="1" applyBorder="1" applyAlignment="1">
      <alignment horizontal="right" vertical="top" wrapText="1"/>
    </xf>
    <xf numFmtId="3" fontId="50" fillId="9" borderId="2" xfId="0" applyNumberFormat="1" applyFont="1" applyFill="1" applyBorder="1" applyAlignment="1">
      <alignment horizontal="right" vertical="top" wrapText="1"/>
    </xf>
    <xf numFmtId="0" fontId="57" fillId="9" borderId="2" xfId="0" applyFont="1" applyFill="1" applyBorder="1" applyAlignment="1">
      <alignment horizontal="left" vertical="top" wrapText="1"/>
    </xf>
    <xf numFmtId="0" fontId="66" fillId="0" borderId="0" xfId="0" applyFont="1"/>
    <xf numFmtId="0" fontId="57" fillId="0" borderId="42" xfId="0" applyFont="1" applyBorder="1" applyAlignment="1">
      <alignment horizontal="right" vertical="top" wrapText="1"/>
    </xf>
    <xf numFmtId="3" fontId="66" fillId="0" borderId="0" xfId="0" applyNumberFormat="1" applyFont="1"/>
    <xf numFmtId="169" fontId="0" fillId="0" borderId="0" xfId="0" applyNumberFormat="1"/>
    <xf numFmtId="0" fontId="28" fillId="0" borderId="0" xfId="0" applyFont="1"/>
    <xf numFmtId="3" fontId="67" fillId="8" borderId="0" xfId="0" applyNumberFormat="1" applyFont="1" applyFill="1" applyAlignment="1" applyProtection="1">
      <alignment horizontal="left" indent="3"/>
      <protection locked="0"/>
    </xf>
    <xf numFmtId="0" fontId="26" fillId="12" borderId="22" xfId="0" applyFont="1" applyFill="1" applyBorder="1" applyAlignment="1">
      <alignment horizontal="center" vertical="center" wrapText="1"/>
    </xf>
    <xf numFmtId="0" fontId="26" fillId="12" borderId="25" xfId="0" applyFont="1" applyFill="1" applyBorder="1" applyAlignment="1">
      <alignment horizontal="center" vertical="center"/>
    </xf>
    <xf numFmtId="3" fontId="26" fillId="13" borderId="26" xfId="0" applyNumberFormat="1" applyFont="1" applyFill="1" applyBorder="1" applyAlignment="1" applyProtection="1">
      <alignment horizontal="center" vertical="center"/>
      <protection locked="0"/>
    </xf>
    <xf numFmtId="0" fontId="25" fillId="8" borderId="6" xfId="0" applyFont="1" applyFill="1" applyBorder="1"/>
    <xf numFmtId="0" fontId="25" fillId="8" borderId="2" xfId="0" applyFont="1" applyFill="1" applyBorder="1"/>
    <xf numFmtId="0" fontId="25" fillId="8" borderId="2" xfId="0" applyFont="1" applyFill="1" applyBorder="1" applyAlignment="1">
      <alignment wrapText="1"/>
    </xf>
    <xf numFmtId="3" fontId="68" fillId="8" borderId="10" xfId="0" applyNumberFormat="1" applyFont="1" applyFill="1" applyBorder="1" applyAlignment="1" applyProtection="1">
      <alignment horizontal="right" wrapText="1"/>
      <protection locked="0"/>
    </xf>
    <xf numFmtId="3" fontId="26" fillId="8" borderId="10" xfId="0" applyNumberFormat="1" applyFont="1" applyFill="1" applyBorder="1" applyAlignment="1" applyProtection="1">
      <alignment horizontal="right" wrapText="1"/>
      <protection locked="0"/>
    </xf>
    <xf numFmtId="0" fontId="25" fillId="8" borderId="2" xfId="9" applyFont="1" applyFill="1" applyBorder="1" applyAlignment="1">
      <alignment horizontal="left" wrapText="1"/>
    </xf>
    <xf numFmtId="3" fontId="26" fillId="8" borderId="10" xfId="0" applyNumberFormat="1" applyFont="1" applyFill="1" applyBorder="1" applyAlignment="1" applyProtection="1">
      <alignment vertical="center" wrapText="1"/>
      <protection locked="0"/>
    </xf>
    <xf numFmtId="0" fontId="25" fillId="5" borderId="6" xfId="0" applyFont="1" applyFill="1" applyBorder="1"/>
    <xf numFmtId="0" fontId="26" fillId="5" borderId="2" xfId="0" applyFont="1" applyFill="1" applyBorder="1"/>
    <xf numFmtId="0" fontId="26" fillId="5" borderId="2" xfId="0" applyFont="1" applyFill="1" applyBorder="1" applyAlignment="1">
      <alignment horizontal="left" wrapText="1" indent="1"/>
    </xf>
    <xf numFmtId="3" fontId="26" fillId="5" borderId="10" xfId="0" applyNumberFormat="1" applyFont="1" applyFill="1" applyBorder="1" applyAlignment="1" applyProtection="1">
      <alignment horizontal="right" wrapText="1"/>
      <protection locked="0"/>
    </xf>
    <xf numFmtId="3" fontId="26" fillId="8" borderId="10" xfId="0" applyNumberFormat="1" applyFont="1" applyFill="1" applyBorder="1" applyProtection="1">
      <protection locked="0"/>
    </xf>
    <xf numFmtId="0" fontId="25" fillId="4" borderId="6" xfId="0" applyFont="1" applyFill="1" applyBorder="1"/>
    <xf numFmtId="0" fontId="26" fillId="4" borderId="2" xfId="0" applyFont="1" applyFill="1" applyBorder="1"/>
    <xf numFmtId="3" fontId="26" fillId="4" borderId="10" xfId="0" applyNumberFormat="1" applyFont="1" applyFill="1" applyBorder="1" applyProtection="1">
      <protection locked="0"/>
    </xf>
    <xf numFmtId="0" fontId="25" fillId="14" borderId="56" xfId="0" applyFont="1" applyFill="1" applyBorder="1"/>
    <xf numFmtId="0" fontId="26" fillId="14" borderId="15" xfId="0" applyFont="1" applyFill="1" applyBorder="1"/>
    <xf numFmtId="3" fontId="26" fillId="14" borderId="16" xfId="0" applyNumberFormat="1" applyFont="1" applyFill="1" applyBorder="1" applyProtection="1">
      <protection locked="0"/>
    </xf>
    <xf numFmtId="165" fontId="50" fillId="0" borderId="0" xfId="0" applyNumberFormat="1" applyFont="1" applyAlignment="1" applyProtection="1">
      <alignment horizontal="center" vertical="center" wrapText="1"/>
      <protection locked="0"/>
    </xf>
    <xf numFmtId="3" fontId="50" fillId="0" borderId="0" xfId="0" applyNumberFormat="1" applyFont="1"/>
    <xf numFmtId="165" fontId="57" fillId="11" borderId="22" xfId="0" applyNumberFormat="1" applyFont="1" applyFill="1" applyBorder="1" applyAlignment="1" applyProtection="1">
      <alignment horizontal="center" vertical="center" wrapText="1"/>
      <protection locked="0"/>
    </xf>
    <xf numFmtId="165" fontId="57" fillId="11" borderId="58" xfId="0" applyNumberFormat="1" applyFont="1" applyFill="1" applyBorder="1" applyAlignment="1" applyProtection="1">
      <alignment horizontal="left" vertical="center" wrapText="1" indent="1"/>
      <protection locked="0"/>
    </xf>
    <xf numFmtId="0" fontId="50" fillId="0" borderId="0" xfId="0" applyFont="1" applyAlignment="1">
      <alignment horizontal="right" vertical="center" wrapText="1" indent="1"/>
    </xf>
    <xf numFmtId="165" fontId="57" fillId="0" borderId="6" xfId="0" applyNumberFormat="1" applyFont="1" applyBorder="1" applyAlignment="1" applyProtection="1">
      <alignment horizontal="center" vertical="center" wrapText="1"/>
      <protection locked="0"/>
    </xf>
    <xf numFmtId="165" fontId="57" fillId="0" borderId="39" xfId="0" applyNumberFormat="1" applyFont="1" applyBorder="1" applyAlignment="1" applyProtection="1">
      <alignment horizontal="center" vertical="center" wrapText="1"/>
      <protection locked="0"/>
    </xf>
    <xf numFmtId="165" fontId="57" fillId="0" borderId="35" xfId="0" applyNumberFormat="1" applyFont="1" applyBorder="1" applyAlignment="1" applyProtection="1">
      <alignment horizontal="center" vertical="center" wrapText="1"/>
      <protection locked="0"/>
    </xf>
    <xf numFmtId="49" fontId="50" fillId="8" borderId="6" xfId="10" applyNumberFormat="1" applyFont="1" applyFill="1" applyBorder="1" applyAlignment="1">
      <alignment horizontal="left" vertical="center" wrapText="1" indent="1"/>
    </xf>
    <xf numFmtId="0" fontId="57" fillId="15" borderId="39" xfId="10" applyFont="1" applyFill="1" applyBorder="1" applyAlignment="1">
      <alignment horizontal="left" vertical="center" wrapText="1" indent="1"/>
    </xf>
    <xf numFmtId="165" fontId="57" fillId="15" borderId="35" xfId="10" applyNumberFormat="1" applyFont="1" applyFill="1" applyBorder="1" applyAlignment="1">
      <alignment horizontal="right" vertical="center" wrapText="1"/>
    </xf>
    <xf numFmtId="0" fontId="53" fillId="9" borderId="39" xfId="10" applyFont="1" applyFill="1" applyBorder="1" applyAlignment="1">
      <alignment horizontal="left" vertical="center" wrapText="1" indent="1"/>
    </xf>
    <xf numFmtId="165" fontId="57" fillId="9" borderId="35" xfId="10" applyNumberFormat="1" applyFont="1" applyFill="1" applyBorder="1" applyAlignment="1" applyProtection="1">
      <alignment horizontal="right" vertical="center" wrapText="1"/>
      <protection locked="0"/>
    </xf>
    <xf numFmtId="0" fontId="50" fillId="8" borderId="39" xfId="10" applyFont="1" applyFill="1" applyBorder="1" applyAlignment="1">
      <alignment horizontal="left" vertical="center" wrapText="1" indent="1"/>
    </xf>
    <xf numFmtId="165" fontId="50" fillId="0" borderId="35" xfId="10" applyNumberFormat="1" applyFont="1" applyBorder="1" applyAlignment="1" applyProtection="1">
      <alignment horizontal="right" vertical="center" wrapText="1"/>
      <protection locked="0"/>
    </xf>
    <xf numFmtId="0" fontId="50" fillId="0" borderId="39" xfId="10" applyFont="1" applyBorder="1" applyAlignment="1">
      <alignment horizontal="left" vertical="center" wrapText="1" indent="1"/>
    </xf>
    <xf numFmtId="165" fontId="50" fillId="8" borderId="35" xfId="10" applyNumberFormat="1" applyFont="1" applyFill="1" applyBorder="1" applyAlignment="1" applyProtection="1">
      <alignment horizontal="right" vertical="center" wrapText="1"/>
      <protection locked="0"/>
    </xf>
    <xf numFmtId="0" fontId="53" fillId="9" borderId="39" xfId="0" applyFont="1" applyFill="1" applyBorder="1" applyAlignment="1">
      <alignment horizontal="left" vertical="center" wrapText="1" indent="1"/>
    </xf>
    <xf numFmtId="165" fontId="53" fillId="9" borderId="35" xfId="10" applyNumberFormat="1" applyFont="1" applyFill="1" applyBorder="1" applyAlignment="1" applyProtection="1">
      <alignment horizontal="right" vertical="center" wrapText="1"/>
      <protection locked="0"/>
    </xf>
    <xf numFmtId="165" fontId="69" fillId="8" borderId="35" xfId="10" applyNumberFormat="1" applyFont="1" applyFill="1" applyBorder="1" applyAlignment="1" applyProtection="1">
      <alignment horizontal="right" vertical="center" wrapText="1"/>
      <protection locked="0"/>
    </xf>
    <xf numFmtId="0" fontId="53" fillId="15" borderId="39" xfId="10" applyFont="1" applyFill="1" applyBorder="1" applyAlignment="1">
      <alignment horizontal="left" vertical="center" wrapText="1" indent="1"/>
    </xf>
    <xf numFmtId="165" fontId="57" fillId="15" borderId="35" xfId="10" applyNumberFormat="1" applyFont="1" applyFill="1" applyBorder="1" applyAlignment="1" applyProtection="1">
      <alignment horizontal="right" vertical="center" wrapText="1"/>
      <protection locked="0"/>
    </xf>
    <xf numFmtId="49" fontId="50" fillId="0" borderId="56" xfId="10" applyNumberFormat="1" applyFont="1" applyBorder="1" applyAlignment="1">
      <alignment horizontal="left" vertical="center" wrapText="1" indent="1"/>
    </xf>
    <xf numFmtId="165" fontId="50" fillId="0" borderId="31" xfId="0" applyNumberFormat="1" applyFont="1" applyBorder="1" applyAlignment="1" applyProtection="1">
      <alignment horizontal="left" vertical="center" wrapText="1" indent="1"/>
      <protection locked="0"/>
    </xf>
    <xf numFmtId="165" fontId="50" fillId="8" borderId="55" xfId="0" applyNumberFormat="1" applyFont="1" applyFill="1" applyBorder="1" applyAlignment="1" applyProtection="1">
      <alignment vertical="center" wrapText="1"/>
      <protection locked="0"/>
    </xf>
    <xf numFmtId="0" fontId="57" fillId="16" borderId="8" xfId="10" applyFont="1" applyFill="1" applyBorder="1" applyAlignment="1">
      <alignment horizontal="left" vertical="center" wrapText="1" indent="1"/>
    </xf>
    <xf numFmtId="0" fontId="57" fillId="16" borderId="59" xfId="10" applyFont="1" applyFill="1" applyBorder="1" applyAlignment="1">
      <alignment horizontal="left" vertical="center" wrapText="1" indent="1"/>
    </xf>
    <xf numFmtId="165" fontId="57" fillId="16" borderId="47" xfId="0" applyNumberFormat="1" applyFont="1" applyFill="1" applyBorder="1" applyAlignment="1" applyProtection="1">
      <alignment vertical="center" wrapText="1"/>
      <protection locked="0"/>
    </xf>
    <xf numFmtId="3" fontId="26" fillId="9" borderId="10" xfId="0" applyNumberFormat="1" applyFont="1" applyFill="1" applyBorder="1" applyAlignment="1" applyProtection="1">
      <alignment horizontal="right" vertical="center" indent="1"/>
      <protection locked="0"/>
    </xf>
    <xf numFmtId="0" fontId="11" fillId="0" borderId="0" xfId="10" applyAlignment="1">
      <alignment horizontal="right" indent="2"/>
    </xf>
    <xf numFmtId="0" fontId="42" fillId="0" borderId="0" xfId="10" applyFont="1" applyAlignment="1">
      <alignment vertical="center"/>
    </xf>
    <xf numFmtId="0" fontId="8" fillId="0" borderId="5" xfId="10" applyFont="1" applyBorder="1" applyAlignment="1">
      <alignment horizontal="right" vertical="center" wrapText="1" indent="2"/>
    </xf>
    <xf numFmtId="0" fontId="8" fillId="0" borderId="66" xfId="10" applyFont="1" applyBorder="1" applyAlignment="1">
      <alignment horizontal="center" vertical="center" wrapText="1"/>
    </xf>
    <xf numFmtId="0" fontId="19" fillId="0" borderId="5" xfId="10" applyFont="1" applyBorder="1" applyAlignment="1">
      <alignment horizontal="right" vertical="center" wrapText="1" indent="2"/>
    </xf>
    <xf numFmtId="0" fontId="26" fillId="0" borderId="1" xfId="0" applyFont="1" applyBorder="1" applyAlignment="1">
      <alignment horizontal="left" vertical="center" wrapText="1" indent="1"/>
    </xf>
    <xf numFmtId="165" fontId="19" fillId="0" borderId="1" xfId="10" applyNumberFormat="1" applyFont="1" applyBorder="1" applyAlignment="1" applyProtection="1">
      <alignment horizontal="right" vertical="center" wrapText="1" indent="1"/>
      <protection locked="0"/>
    </xf>
    <xf numFmtId="0" fontId="19" fillId="0" borderId="1" xfId="10" applyFont="1" applyBorder="1" applyAlignment="1">
      <alignment horizontal="left" vertical="center" wrapText="1" indent="1"/>
    </xf>
    <xf numFmtId="165" fontId="27" fillId="0" borderId="1" xfId="10" applyNumberFormat="1" applyFont="1" applyBorder="1" applyAlignment="1">
      <alignment horizontal="right" vertical="center" wrapText="1" indent="1"/>
    </xf>
    <xf numFmtId="49" fontId="21" fillId="0" borderId="18" xfId="10" applyNumberFormat="1" applyFont="1" applyBorder="1" applyAlignment="1">
      <alignment horizontal="right" vertical="center" wrapText="1" indent="2"/>
    </xf>
    <xf numFmtId="0" fontId="25" fillId="0" borderId="19" xfId="0" applyFont="1" applyBorder="1" applyAlignment="1">
      <alignment horizontal="left" vertical="center" wrapText="1" indent="1"/>
    </xf>
    <xf numFmtId="165" fontId="21" fillId="0" borderId="19" xfId="10" applyNumberFormat="1" applyFont="1" applyBorder="1" applyAlignment="1" applyProtection="1">
      <alignment horizontal="right" vertical="center" wrapText="1" indent="1"/>
      <protection locked="0"/>
    </xf>
    <xf numFmtId="165" fontId="21" fillId="0" borderId="69" xfId="10" applyNumberFormat="1" applyFont="1" applyBorder="1" applyAlignment="1" applyProtection="1">
      <alignment horizontal="right" vertical="center" wrapText="1" indent="1"/>
      <protection locked="0"/>
    </xf>
    <xf numFmtId="49" fontId="21" fillId="0" borderId="6" xfId="10" applyNumberFormat="1" applyFont="1" applyBorder="1" applyAlignment="1">
      <alignment horizontal="right" vertical="center" wrapText="1" indent="2"/>
    </xf>
    <xf numFmtId="165" fontId="21" fillId="0" borderId="2" xfId="10" applyNumberFormat="1" applyFont="1" applyBorder="1" applyAlignment="1" applyProtection="1">
      <alignment horizontal="right" vertical="center" wrapText="1" indent="1"/>
      <protection locked="0"/>
    </xf>
    <xf numFmtId="49" fontId="21" fillId="0" borderId="11" xfId="10" applyNumberFormat="1" applyFont="1" applyBorder="1" applyAlignment="1">
      <alignment horizontal="right" vertical="center" wrapText="1" indent="2"/>
    </xf>
    <xf numFmtId="165" fontId="21" fillId="0" borderId="3" xfId="10" applyNumberFormat="1" applyFont="1" applyBorder="1" applyAlignment="1" applyProtection="1">
      <alignment horizontal="right" vertical="center" wrapText="1" indent="1"/>
      <protection locked="0"/>
    </xf>
    <xf numFmtId="165" fontId="27" fillId="0" borderId="1" xfId="10" applyNumberFormat="1" applyFont="1" applyBorder="1" applyAlignment="1" applyProtection="1">
      <alignment horizontal="right" vertical="center" wrapText="1" indent="1"/>
      <protection locked="0"/>
    </xf>
    <xf numFmtId="165" fontId="27" fillId="0" borderId="24" xfId="10" applyNumberFormat="1" applyFont="1" applyBorder="1" applyAlignment="1" applyProtection="1">
      <alignment horizontal="right" vertical="center" wrapText="1" indent="1"/>
      <protection locked="0"/>
    </xf>
    <xf numFmtId="0" fontId="7" fillId="0" borderId="41" xfId="10" applyFont="1" applyBorder="1" applyAlignment="1">
      <alignment horizontal="right" vertical="center" wrapText="1" indent="2"/>
    </xf>
    <xf numFmtId="0" fontId="21" fillId="0" borderId="41" xfId="10" applyFont="1" applyBorder="1" applyAlignment="1">
      <alignment horizontal="right" vertical="center" wrapText="1"/>
    </xf>
    <xf numFmtId="165" fontId="28" fillId="0" borderId="41" xfId="10" applyNumberFormat="1" applyFont="1" applyBorder="1" applyAlignment="1">
      <alignment horizontal="right" vertical="center" wrapText="1"/>
    </xf>
    <xf numFmtId="0" fontId="19" fillId="0" borderId="38" xfId="10" applyFont="1" applyBorder="1" applyAlignment="1">
      <alignment horizontal="right" vertical="center" wrapText="1" indent="2"/>
    </xf>
    <xf numFmtId="0" fontId="19" fillId="0" borderId="4" xfId="10" applyFont="1" applyBorder="1" applyAlignment="1">
      <alignment horizontal="center" vertical="center" wrapText="1"/>
    </xf>
    <xf numFmtId="0" fontId="19" fillId="0" borderId="65" xfId="10" applyFont="1" applyBorder="1" applyAlignment="1">
      <alignment horizontal="center" vertical="center" wrapText="1"/>
    </xf>
    <xf numFmtId="0" fontId="19" fillId="0" borderId="8" xfId="10" applyFont="1" applyBorder="1" applyAlignment="1">
      <alignment horizontal="right" vertical="center" wrapText="1" indent="2"/>
    </xf>
    <xf numFmtId="0" fontId="27" fillId="0" borderId="9" xfId="10" applyFont="1" applyBorder="1" applyAlignment="1">
      <alignment horizontal="left" vertical="center" wrapText="1" indent="1"/>
    </xf>
    <xf numFmtId="165" fontId="27" fillId="0" borderId="9" xfId="10" applyNumberFormat="1" applyFont="1" applyBorder="1" applyAlignment="1">
      <alignment horizontal="right" vertical="center" wrapText="1" indent="1"/>
    </xf>
    <xf numFmtId="0" fontId="21" fillId="0" borderId="2" xfId="10" applyFont="1" applyBorder="1" applyAlignment="1">
      <alignment horizontal="left" vertical="center" wrapText="1" indent="1"/>
    </xf>
    <xf numFmtId="0" fontId="21" fillId="0" borderId="3" xfId="10" applyFont="1" applyBorder="1" applyAlignment="1">
      <alignment horizontal="left" vertical="center" wrapText="1" indent="1"/>
    </xf>
    <xf numFmtId="0" fontId="25" fillId="0" borderId="3" xfId="0" applyFont="1" applyBorder="1" applyAlignment="1">
      <alignment horizontal="left" vertical="center" wrapText="1" indent="1"/>
    </xf>
    <xf numFmtId="0" fontId="27" fillId="0" borderId="1" xfId="10" applyFont="1" applyBorder="1" applyAlignment="1">
      <alignment horizontal="left" vertical="center" wrapText="1" indent="1"/>
    </xf>
    <xf numFmtId="165" fontId="19" fillId="0" borderId="1" xfId="10" applyNumberFormat="1" applyFont="1" applyBorder="1" applyAlignment="1">
      <alignment horizontal="right" vertical="center" wrapText="1" indent="1"/>
    </xf>
    <xf numFmtId="0" fontId="24" fillId="0" borderId="9" xfId="0" applyFont="1" applyBorder="1" applyAlignment="1">
      <alignment horizontal="left" vertical="center" wrapText="1" indent="1"/>
    </xf>
    <xf numFmtId="165" fontId="24" fillId="0" borderId="1" xfId="0" quotePrefix="1" applyNumberFormat="1" applyFont="1" applyBorder="1" applyAlignment="1">
      <alignment horizontal="right" vertical="center" wrapText="1" indent="1"/>
    </xf>
    <xf numFmtId="165" fontId="24" fillId="0" borderId="24" xfId="0" quotePrefix="1" applyNumberFormat="1" applyFont="1" applyBorder="1" applyAlignment="1">
      <alignment horizontal="right" vertical="center" wrapText="1" indent="1"/>
    </xf>
    <xf numFmtId="165" fontId="62" fillId="0" borderId="0" xfId="10" applyNumberFormat="1" applyFont="1" applyAlignment="1">
      <alignment horizontal="right" indent="1"/>
    </xf>
    <xf numFmtId="3" fontId="0" fillId="0" borderId="0" xfId="0" applyNumberFormat="1"/>
    <xf numFmtId="3" fontId="36" fillId="0" borderId="0" xfId="0" applyNumberFormat="1" applyFont="1"/>
    <xf numFmtId="3" fontId="36" fillId="0" borderId="0" xfId="10" applyNumberFormat="1" applyFont="1"/>
    <xf numFmtId="3" fontId="25" fillId="17" borderId="10" xfId="0" applyNumberFormat="1" applyFont="1" applyFill="1" applyBorder="1" applyAlignment="1" applyProtection="1">
      <alignment horizontal="right" vertical="center" indent="1"/>
      <protection locked="0"/>
    </xf>
    <xf numFmtId="165" fontId="25" fillId="0" borderId="14" xfId="0" applyNumberFormat="1" applyFont="1" applyBorder="1" applyAlignment="1" applyProtection="1">
      <alignment horizontal="right" vertical="top" wrapText="1"/>
      <protection locked="0"/>
    </xf>
    <xf numFmtId="0" fontId="37" fillId="0" borderId="2" xfId="0" applyFont="1" applyBorder="1" applyAlignment="1">
      <alignment wrapText="1"/>
    </xf>
    <xf numFmtId="165" fontId="21" fillId="8" borderId="12" xfId="10" applyNumberFormat="1" applyFont="1" applyFill="1" applyBorder="1" applyAlignment="1" applyProtection="1">
      <alignment horizontal="right" vertical="center" wrapText="1" indent="1"/>
      <protection locked="0"/>
    </xf>
    <xf numFmtId="165" fontId="21" fillId="8" borderId="14" xfId="10" applyNumberFormat="1" applyFont="1" applyFill="1" applyBorder="1" applyAlignment="1" applyProtection="1">
      <alignment horizontal="right" vertical="center" wrapText="1" indent="1"/>
      <protection locked="0"/>
    </xf>
    <xf numFmtId="165" fontId="21" fillId="8" borderId="10" xfId="1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0" xfId="10" applyNumberFormat="1"/>
    <xf numFmtId="165" fontId="14" fillId="0" borderId="0" xfId="10" applyNumberFormat="1" applyFont="1"/>
    <xf numFmtId="165" fontId="14" fillId="0" borderId="0" xfId="10" applyNumberFormat="1" applyFont="1" applyAlignment="1">
      <alignment vertical="center"/>
    </xf>
    <xf numFmtId="0" fontId="70" fillId="0" borderId="0" xfId="0" applyFont="1" applyAlignment="1">
      <alignment horizontal="center" vertical="top" wrapText="1"/>
    </xf>
    <xf numFmtId="0" fontId="51" fillId="0" borderId="0" xfId="0" applyFont="1" applyAlignment="1">
      <alignment horizontal="center"/>
    </xf>
    <xf numFmtId="0" fontId="33" fillId="7" borderId="0" xfId="0" applyFont="1" applyFill="1" applyAlignment="1" applyProtection="1">
      <alignment horizontal="center"/>
      <protection locked="0"/>
    </xf>
    <xf numFmtId="0" fontId="22" fillId="7" borderId="0" xfId="0" applyFont="1" applyFill="1" applyAlignment="1" applyProtection="1">
      <alignment horizontal="center"/>
      <protection locked="0"/>
    </xf>
    <xf numFmtId="0" fontId="35" fillId="0" borderId="0" xfId="0" applyFont="1" applyAlignment="1">
      <alignment horizontal="center"/>
    </xf>
    <xf numFmtId="0" fontId="49" fillId="0" borderId="0" xfId="10" applyFont="1" applyAlignment="1" applyProtection="1">
      <alignment horizontal="right"/>
      <protection locked="0"/>
    </xf>
    <xf numFmtId="0" fontId="49" fillId="0" borderId="0" xfId="0" applyFont="1" applyAlignment="1" applyProtection="1">
      <alignment horizontal="right"/>
      <protection locked="0"/>
    </xf>
    <xf numFmtId="165" fontId="7" fillId="0" borderId="0" xfId="10" applyNumberFormat="1" applyFont="1" applyAlignment="1" applyProtection="1">
      <alignment horizontal="center" vertical="center"/>
      <protection locked="0"/>
    </xf>
    <xf numFmtId="165" fontId="34" fillId="0" borderId="23" xfId="10" applyNumberFormat="1" applyFont="1" applyBorder="1" applyAlignment="1" applyProtection="1">
      <alignment horizontal="left" vertical="center"/>
      <protection locked="0"/>
    </xf>
    <xf numFmtId="165" fontId="34" fillId="0" borderId="23" xfId="10" applyNumberFormat="1" applyFont="1" applyBorder="1" applyAlignment="1">
      <alignment horizontal="left" vertical="center"/>
    </xf>
    <xf numFmtId="0" fontId="27" fillId="0" borderId="0" xfId="10" applyFont="1" applyAlignment="1">
      <alignment horizontal="center" vertical="center"/>
    </xf>
    <xf numFmtId="165" fontId="7" fillId="0" borderId="0" xfId="10" applyNumberFormat="1" applyFont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9" fillId="0" borderId="0" xfId="10" applyFont="1" applyAlignment="1">
      <alignment horizontal="right"/>
    </xf>
    <xf numFmtId="0" fontId="49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165" fontId="29" fillId="0" borderId="53" xfId="0" applyNumberFormat="1" applyFont="1" applyBorder="1" applyAlignment="1">
      <alignment horizontal="center" vertical="center" wrapText="1"/>
    </xf>
    <xf numFmtId="165" fontId="29" fillId="0" borderId="47" xfId="0" applyNumberFormat="1" applyFont="1" applyBorder="1" applyAlignment="1">
      <alignment horizontal="center" vertical="center" wrapText="1"/>
    </xf>
    <xf numFmtId="165" fontId="49" fillId="0" borderId="0" xfId="0" applyNumberFormat="1" applyFont="1" applyAlignment="1">
      <alignment horizontal="center" textRotation="180" wrapText="1"/>
    </xf>
    <xf numFmtId="165" fontId="71" fillId="0" borderId="41" xfId="0" applyNumberFormat="1" applyFont="1" applyBorder="1" applyAlignment="1">
      <alignment horizontal="left" vertical="top" wrapText="1"/>
    </xf>
    <xf numFmtId="165" fontId="17" fillId="0" borderId="23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165" fontId="29" fillId="0" borderId="54" xfId="0" applyNumberFormat="1" applyFont="1" applyBorder="1" applyAlignment="1">
      <alignment horizontal="center" vertical="center" wrapText="1"/>
    </xf>
    <xf numFmtId="165" fontId="29" fillId="0" borderId="55" xfId="0" applyNumberFormat="1" applyFont="1" applyBorder="1" applyAlignment="1">
      <alignment horizontal="center" vertical="center" wrapText="1"/>
    </xf>
    <xf numFmtId="0" fontId="17" fillId="0" borderId="23" xfId="0" applyFont="1" applyBorder="1" applyAlignment="1">
      <alignment vertical="center" wrapText="1"/>
    </xf>
    <xf numFmtId="165" fontId="5" fillId="0" borderId="0" xfId="10" applyNumberFormat="1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right" vertical="center"/>
    </xf>
    <xf numFmtId="0" fontId="30" fillId="0" borderId="26" xfId="10" applyFont="1" applyBorder="1" applyAlignment="1">
      <alignment horizontal="center" vertical="center" wrapText="1"/>
    </xf>
    <xf numFmtId="0" fontId="30" fillId="0" borderId="12" xfId="10" applyFont="1" applyBorder="1" applyAlignment="1">
      <alignment horizontal="center" vertical="center" wrapText="1"/>
    </xf>
    <xf numFmtId="0" fontId="30" fillId="0" borderId="22" xfId="10" applyFont="1" applyBorder="1" applyAlignment="1">
      <alignment horizontal="center" vertical="center" wrapText="1"/>
    </xf>
    <xf numFmtId="0" fontId="30" fillId="0" borderId="11" xfId="10" applyFont="1" applyBorder="1" applyAlignment="1">
      <alignment horizontal="center" vertical="center" wrapText="1"/>
    </xf>
    <xf numFmtId="0" fontId="30" fillId="0" borderId="25" xfId="10" applyFont="1" applyBorder="1" applyAlignment="1">
      <alignment horizontal="center" vertical="center" wrapText="1"/>
    </xf>
    <xf numFmtId="0" fontId="30" fillId="0" borderId="3" xfId="10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165" fontId="7" fillId="0" borderId="0" xfId="10" applyNumberFormat="1" applyFont="1" applyAlignment="1" applyProtection="1">
      <alignment horizontal="center" vertical="center" wrapText="1"/>
      <protection locked="0"/>
    </xf>
    <xf numFmtId="0" fontId="29" fillId="0" borderId="5" xfId="10" applyFont="1" applyBorder="1" applyAlignment="1">
      <alignment horizontal="left" vertical="center"/>
    </xf>
    <xf numFmtId="0" fontId="29" fillId="0" borderId="1" xfId="10" applyFont="1" applyBorder="1" applyAlignment="1">
      <alignment horizontal="left" vertical="center"/>
    </xf>
    <xf numFmtId="0" fontId="21" fillId="0" borderId="41" xfId="10" applyFont="1" applyBorder="1" applyAlignment="1">
      <alignment horizontal="justify" vertical="center" wrapText="1"/>
    </xf>
    <xf numFmtId="0" fontId="14" fillId="0" borderId="41" xfId="10" applyFont="1" applyBorder="1" applyAlignment="1">
      <alignment horizontal="left" vertical="top" wrapText="1"/>
    </xf>
    <xf numFmtId="165" fontId="22" fillId="0" borderId="0" xfId="0" applyNumberFormat="1" applyFont="1" applyAlignment="1" applyProtection="1">
      <alignment horizontal="center" vertical="center" wrapText="1"/>
      <protection locked="0"/>
    </xf>
    <xf numFmtId="165" fontId="49" fillId="0" borderId="0" xfId="0" applyNumberFormat="1" applyFont="1" applyAlignment="1" applyProtection="1">
      <alignment horizontal="right" vertical="center" wrapText="1"/>
      <protection locked="0"/>
    </xf>
    <xf numFmtId="0" fontId="49" fillId="0" borderId="0" xfId="0" applyFont="1" applyAlignment="1" applyProtection="1">
      <alignment horizontal="right" vertical="center" wrapText="1"/>
      <protection locked="0"/>
    </xf>
    <xf numFmtId="0" fontId="54" fillId="0" borderId="0" xfId="7" applyFont="1" applyAlignment="1">
      <alignment horizontal="center" vertical="top" textRotation="180"/>
    </xf>
    <xf numFmtId="168" fontId="7" fillId="0" borderId="0" xfId="7" applyNumberFormat="1" applyFont="1" applyAlignment="1" applyProtection="1">
      <alignment horizontal="center" vertical="center" wrapText="1"/>
      <protection locked="0"/>
    </xf>
    <xf numFmtId="165" fontId="30" fillId="0" borderId="32" xfId="7" applyNumberFormat="1" applyFont="1" applyBorder="1" applyAlignment="1">
      <alignment horizontal="center" vertical="center" wrapText="1"/>
    </xf>
    <xf numFmtId="165" fontId="30" fillId="0" borderId="60" xfId="7" applyNumberFormat="1" applyFont="1" applyBorder="1" applyAlignment="1">
      <alignment horizontal="center" vertical="center" wrapText="1"/>
    </xf>
    <xf numFmtId="165" fontId="0" fillId="0" borderId="48" xfId="7" applyNumberFormat="1" applyFont="1" applyBorder="1" applyAlignment="1" applyProtection="1">
      <alignment horizontal="left" vertical="center" wrapText="1"/>
      <protection locked="0"/>
    </xf>
    <xf numFmtId="165" fontId="16" fillId="0" borderId="61" xfId="7" applyNumberFormat="1" applyBorder="1" applyAlignment="1" applyProtection="1">
      <alignment horizontal="left" vertical="center" wrapText="1"/>
      <protection locked="0"/>
    </xf>
    <xf numFmtId="165" fontId="16" fillId="0" borderId="62" xfId="7" applyNumberFormat="1" applyBorder="1" applyAlignment="1" applyProtection="1">
      <alignment horizontal="left" vertical="center" wrapText="1"/>
      <protection locked="0"/>
    </xf>
    <xf numFmtId="165" fontId="16" fillId="0" borderId="63" xfId="7" applyNumberFormat="1" applyBorder="1" applyAlignment="1" applyProtection="1">
      <alignment horizontal="left" vertical="center" wrapText="1"/>
      <protection locked="0"/>
    </xf>
    <xf numFmtId="165" fontId="30" fillId="0" borderId="32" xfId="7" applyNumberFormat="1" applyFont="1" applyBorder="1" applyAlignment="1">
      <alignment horizontal="left" vertical="center" wrapText="1"/>
    </xf>
    <xf numFmtId="165" fontId="30" fillId="0" borderId="60" xfId="7" applyNumberFormat="1" applyFont="1" applyBorder="1" applyAlignment="1">
      <alignment horizontal="left" vertical="center" wrapText="1"/>
    </xf>
    <xf numFmtId="0" fontId="22" fillId="0" borderId="0" xfId="7" applyFont="1" applyAlignment="1">
      <alignment horizontal="center" vertical="center"/>
    </xf>
    <xf numFmtId="0" fontId="22" fillId="0" borderId="0" xfId="7" applyFont="1" applyAlignment="1" applyProtection="1">
      <alignment horizontal="center" vertical="center"/>
      <protection locked="0"/>
    </xf>
    <xf numFmtId="165" fontId="33" fillId="0" borderId="0" xfId="7" applyNumberFormat="1" applyFont="1" applyAlignment="1" applyProtection="1">
      <alignment horizontal="left" vertical="center" wrapText="1"/>
      <protection locked="0"/>
    </xf>
    <xf numFmtId="165" fontId="16" fillId="0" borderId="0" xfId="7" applyNumberFormat="1" applyAlignment="1" applyProtection="1">
      <alignment horizontal="left" vertical="center" wrapText="1"/>
      <protection locked="0"/>
    </xf>
    <xf numFmtId="168" fontId="52" fillId="0" borderId="41" xfId="7" applyNumberFormat="1" applyFont="1" applyBorder="1" applyAlignment="1" applyProtection="1">
      <alignment horizontal="left" vertical="center" wrapText="1"/>
      <protection locked="0"/>
    </xf>
    <xf numFmtId="165" fontId="4" fillId="0" borderId="64" xfId="7" applyNumberFormat="1" applyFont="1" applyBorder="1" applyAlignment="1">
      <alignment horizontal="center" vertical="center"/>
    </xf>
    <xf numFmtId="165" fontId="4" fillId="0" borderId="51" xfId="7" applyNumberFormat="1" applyFont="1" applyBorder="1" applyAlignment="1">
      <alignment horizontal="center" vertical="center"/>
    </xf>
    <xf numFmtId="165" fontId="4" fillId="0" borderId="46" xfId="7" applyNumberFormat="1" applyFont="1" applyBorder="1" applyAlignment="1">
      <alignment horizontal="center" vertical="center"/>
    </xf>
    <xf numFmtId="165" fontId="30" fillId="0" borderId="64" xfId="7" applyNumberFormat="1" applyFont="1" applyBorder="1" applyAlignment="1">
      <alignment horizontal="center" vertical="center" wrapText="1"/>
    </xf>
    <xf numFmtId="165" fontId="30" fillId="0" borderId="41" xfId="7" applyNumberFormat="1" applyFont="1" applyBorder="1" applyAlignment="1">
      <alignment horizontal="center" vertical="center" wrapText="1"/>
    </xf>
    <xf numFmtId="0" fontId="16" fillId="0" borderId="65" xfId="7" applyBorder="1" applyAlignment="1">
      <alignment horizontal="center" vertical="center" wrapText="1"/>
    </xf>
    <xf numFmtId="165" fontId="4" fillId="0" borderId="53" xfId="7" applyNumberFormat="1" applyFont="1" applyBorder="1" applyAlignment="1">
      <alignment horizontal="center" vertical="center" wrapText="1"/>
    </xf>
    <xf numFmtId="165" fontId="4" fillId="0" borderId="34" xfId="7" applyNumberFormat="1" applyFont="1" applyBorder="1" applyAlignment="1">
      <alignment horizontal="center" vertical="center"/>
    </xf>
    <xf numFmtId="0" fontId="72" fillId="0" borderId="47" xfId="0" applyFont="1" applyBorder="1" applyAlignment="1">
      <alignment horizontal="center" vertical="center"/>
    </xf>
    <xf numFmtId="165" fontId="4" fillId="0" borderId="32" xfId="7" applyNumberFormat="1" applyFont="1" applyBorder="1" applyAlignment="1">
      <alignment horizontal="center" vertical="center" wrapText="1"/>
    </xf>
    <xf numFmtId="0" fontId="16" fillId="0" borderId="60" xfId="7" applyBorder="1" applyAlignment="1">
      <alignment horizontal="center" vertical="center" wrapText="1"/>
    </xf>
    <xf numFmtId="0" fontId="16" fillId="0" borderId="24" xfId="7" applyBorder="1" applyAlignment="1">
      <alignment horizontal="center" vertical="center" wrapText="1"/>
    </xf>
    <xf numFmtId="0" fontId="72" fillId="0" borderId="47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/>
      <protection locked="0"/>
    </xf>
    <xf numFmtId="0" fontId="22" fillId="0" borderId="0" xfId="0" applyFont="1" applyAlignment="1">
      <alignment horizontal="center" wrapText="1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>
      <alignment horizontal="center" textRotation="180"/>
    </xf>
    <xf numFmtId="0" fontId="17" fillId="0" borderId="41" xfId="0" applyFont="1" applyBorder="1"/>
    <xf numFmtId="0" fontId="34" fillId="0" borderId="0" xfId="0" applyFont="1" applyAlignment="1">
      <alignment horizontal="right"/>
    </xf>
    <xf numFmtId="0" fontId="29" fillId="0" borderId="32" xfId="0" applyFont="1" applyBorder="1" applyAlignment="1">
      <alignment horizontal="left" vertical="center" indent="2"/>
    </xf>
    <xf numFmtId="0" fontId="29" fillId="0" borderId="66" xfId="0" applyFont="1" applyBorder="1" applyAlignment="1">
      <alignment horizontal="left" vertical="center" indent="2"/>
    </xf>
    <xf numFmtId="0" fontId="22" fillId="0" borderId="0" xfId="0" applyFont="1" applyAlignment="1" applyProtection="1">
      <alignment horizontal="center" wrapText="1"/>
      <protection locked="0"/>
    </xf>
    <xf numFmtId="0" fontId="33" fillId="0" borderId="0" xfId="10" applyFont="1" applyAlignment="1">
      <alignment horizontal="center" vertical="center"/>
    </xf>
    <xf numFmtId="165" fontId="49" fillId="0" borderId="0" xfId="0" applyNumberFormat="1" applyFont="1" applyAlignment="1">
      <alignment horizontal="right" textRotation="180" wrapText="1"/>
    </xf>
    <xf numFmtId="165" fontId="8" fillId="0" borderId="32" xfId="0" applyNumberFormat="1" applyFont="1" applyBorder="1" applyAlignment="1">
      <alignment horizontal="left" vertical="center" wrapText="1"/>
    </xf>
    <xf numFmtId="165" fontId="8" fillId="0" borderId="24" xfId="0" applyNumberFormat="1" applyFont="1" applyBorder="1" applyAlignment="1">
      <alignment horizontal="left" vertical="center" wrapText="1"/>
    </xf>
    <xf numFmtId="165" fontId="8" fillId="0" borderId="53" xfId="0" applyNumberFormat="1" applyFont="1" applyBorder="1" applyAlignment="1">
      <alignment horizontal="center" vertical="center"/>
    </xf>
    <xf numFmtId="165" fontId="8" fillId="0" borderId="47" xfId="0" applyNumberFormat="1" applyFont="1" applyBorder="1" applyAlignment="1">
      <alignment horizontal="center" vertical="center"/>
    </xf>
    <xf numFmtId="165" fontId="8" fillId="0" borderId="48" xfId="0" applyNumberFormat="1" applyFont="1" applyBorder="1" applyAlignment="1">
      <alignment horizontal="center" vertical="center"/>
    </xf>
    <xf numFmtId="165" fontId="8" fillId="0" borderId="61" xfId="0" applyNumberFormat="1" applyFont="1" applyBorder="1" applyAlignment="1">
      <alignment horizontal="center" vertical="center"/>
    </xf>
    <xf numFmtId="165" fontId="8" fillId="0" borderId="52" xfId="0" applyNumberFormat="1" applyFont="1" applyBorder="1" applyAlignment="1">
      <alignment horizontal="center" vertical="center"/>
    </xf>
    <xf numFmtId="165" fontId="8" fillId="0" borderId="53" xfId="0" applyNumberFormat="1" applyFont="1" applyBorder="1" applyAlignment="1">
      <alignment horizontal="center" vertical="center" wrapText="1"/>
    </xf>
    <xf numFmtId="165" fontId="8" fillId="0" borderId="47" xfId="0" applyNumberFormat="1" applyFont="1" applyBorder="1" applyAlignment="1">
      <alignment horizontal="center" vertical="center" wrapText="1"/>
    </xf>
    <xf numFmtId="0" fontId="28" fillId="0" borderId="41" xfId="0" applyFont="1" applyBorder="1" applyAlignment="1">
      <alignment horizontal="justify" vertical="center" wrapText="1"/>
    </xf>
    <xf numFmtId="0" fontId="15" fillId="0" borderId="0" xfId="0" applyFont="1" applyAlignment="1" applyProtection="1">
      <alignment horizontal="center" wrapText="1"/>
      <protection locked="0"/>
    </xf>
    <xf numFmtId="0" fontId="20" fillId="0" borderId="33" xfId="11" applyFont="1" applyBorder="1" applyAlignment="1">
      <alignment horizontal="left" vertical="center" indent="1"/>
    </xf>
    <xf numFmtId="0" fontId="20" fillId="0" borderId="60" xfId="11" applyFont="1" applyBorder="1" applyAlignment="1">
      <alignment horizontal="left" vertical="center" indent="1"/>
    </xf>
    <xf numFmtId="0" fontId="20" fillId="0" borderId="24" xfId="11" applyFont="1" applyBorder="1" applyAlignment="1">
      <alignment horizontal="left" vertical="center" indent="1"/>
    </xf>
    <xf numFmtId="0" fontId="22" fillId="0" borderId="0" xfId="11" applyFont="1" applyAlignment="1">
      <alignment horizontal="center" wrapText="1"/>
    </xf>
    <xf numFmtId="0" fontId="22" fillId="0" borderId="0" xfId="11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33" fillId="0" borderId="0" xfId="1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50" fillId="0" borderId="0" xfId="0" applyFont="1" applyAlignment="1">
      <alignment horizontal="right"/>
    </xf>
    <xf numFmtId="0" fontId="57" fillId="9" borderId="67" xfId="0" applyFont="1" applyFill="1" applyBorder="1" applyAlignment="1">
      <alignment horizontal="center" vertical="top"/>
    </xf>
    <xf numFmtId="0" fontId="57" fillId="9" borderId="68" xfId="0" applyFont="1" applyFill="1" applyBorder="1" applyAlignment="1">
      <alignment horizontal="center" vertical="top"/>
    </xf>
    <xf numFmtId="0" fontId="0" fillId="0" borderId="0" xfId="0" applyAlignment="1">
      <alignment horizontal="right"/>
    </xf>
  </cellXfs>
  <cellStyles count="13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Hivatkozás" xfId="5" builtinId="8"/>
    <cellStyle name="Már látott hiperhivatkozás" xfId="6" xr:uid="{00000000-0005-0000-0000-000005000000}"/>
    <cellStyle name="Normál" xfId="0" builtinId="0"/>
    <cellStyle name="Normál 2" xfId="7" xr:uid="{00000000-0005-0000-0000-000007000000}"/>
    <cellStyle name="Normál 3" xfId="8" xr:uid="{00000000-0005-0000-0000-000008000000}"/>
    <cellStyle name="Normál 3 3" xfId="9" xr:uid="{00000000-0005-0000-0000-000009000000}"/>
    <cellStyle name="Normál_KVRENMUNKA" xfId="10" xr:uid="{00000000-0005-0000-0000-00000A000000}"/>
    <cellStyle name="Normál_SEGEDLETEK" xfId="11" xr:uid="{00000000-0005-0000-0000-00000B000000}"/>
    <cellStyle name="Százalék 2" xfId="12" xr:uid="{00000000-0005-0000-0000-00000C000000}"/>
  </cellStyles>
  <dxfs count="4"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C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</xdr:colOff>
      <xdr:row>6</xdr:row>
      <xdr:rowOff>99060</xdr:rowOff>
    </xdr:from>
    <xdr:to>
      <xdr:col>29</xdr:col>
      <xdr:colOff>144780</xdr:colOff>
      <xdr:row>23</xdr:row>
      <xdr:rowOff>129540</xdr:rowOff>
    </xdr:to>
    <xdr:grpSp>
      <xdr:nvGrpSpPr>
        <xdr:cNvPr id="449146" name="Csoportba foglalás 1">
          <a:extLst>
            <a:ext uri="{FF2B5EF4-FFF2-40B4-BE49-F238E27FC236}">
              <a16:creationId xmlns:a16="http://schemas.microsoft.com/office/drawing/2014/main" id="{243BF27A-A099-E92A-9F35-B741D6BE5A48}"/>
            </a:ext>
          </a:extLst>
        </xdr:cNvPr>
        <xdr:cNvGrpSpPr>
          <a:grpSpLocks/>
        </xdr:cNvGrpSpPr>
      </xdr:nvGrpSpPr>
      <xdr:grpSpPr bwMode="auto">
        <a:xfrm>
          <a:off x="9189720" y="1191260"/>
          <a:ext cx="5623560" cy="3053080"/>
          <a:chOff x="11845637" y="497159"/>
          <a:chExt cx="4895664" cy="2892424"/>
        </a:xfrm>
      </xdr:grpSpPr>
      <xdr:sp macro="" textlink="">
        <xdr:nvSpPr>
          <xdr:cNvPr id="3" name="Beszédbuborék: négyszög 2">
            <a:extLst>
              <a:ext uri="{FF2B5EF4-FFF2-40B4-BE49-F238E27FC236}">
                <a16:creationId xmlns:a16="http://schemas.microsoft.com/office/drawing/2014/main" id="{93448B0C-B53F-25AC-F256-B9A2441F3636}"/>
              </a:ext>
            </a:extLst>
          </xdr:cNvPr>
          <xdr:cNvSpPr/>
        </xdr:nvSpPr>
        <xdr:spPr>
          <a:xfrm>
            <a:off x="11845637" y="497159"/>
            <a:ext cx="4895664" cy="2892424"/>
          </a:xfrm>
          <a:prstGeom prst="wedgeRectCallout">
            <a:avLst>
              <a:gd name="adj1" fmla="val -59734"/>
              <a:gd name="adj2" fmla="val 9986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hu-HU" sz="1100" b="1"/>
              <a:t>Teendő:</a:t>
            </a:r>
          </a:p>
          <a:p>
            <a:pPr algn="l"/>
            <a:r>
              <a:rPr lang="hu-HU" sz="1100"/>
              <a:t>Ha nem a székhely</a:t>
            </a:r>
            <a:r>
              <a:rPr lang="hu-HU" sz="1100" baseline="0"/>
              <a:t> szerinti önkormányzatra készülnek a táblázatok, kattintson ide</a:t>
            </a:r>
          </a:p>
          <a:p>
            <a:pPr algn="l"/>
            <a:endParaRPr lang="hu-HU" sz="1100" baseline="0"/>
          </a:p>
          <a:p>
            <a:pPr algn="l"/>
            <a:endParaRPr lang="hu-HU" sz="1100" baseline="0"/>
          </a:p>
          <a:p>
            <a:pPr algn="l"/>
            <a:endParaRPr lang="hu-HU" sz="1100" baseline="0"/>
          </a:p>
          <a:p>
            <a:pPr algn="l"/>
            <a:r>
              <a:rPr lang="hu-HU" sz="1100"/>
              <a:t>,ha</a:t>
            </a:r>
            <a:r>
              <a:rPr lang="hu-HU" sz="1100" baseline="0"/>
              <a:t> feljön az "Igen" és "Nem" akkor kattintson a "Nem"-re. Ezt csak a  közös hivatallal rendelkező önkormányzatok esetében kell megtenni, polgármesteri hivatalok esetében minditg az alaphelyzetet (Igen) kell meghagyni!</a:t>
            </a:r>
          </a:p>
          <a:p>
            <a:pPr algn="l"/>
            <a:r>
              <a:rPr lang="hu-HU" sz="1100" b="1" baseline="0"/>
              <a:t>Magyarázat:</a:t>
            </a:r>
          </a:p>
          <a:p>
            <a:pPr algn="l"/>
            <a:r>
              <a:rPr lang="hu-HU" sz="1100" baseline="0"/>
              <a:t>Csak székhellyel rendelkező önkormányzatnál lehet közös hivatal, a többinél nem. ezért abban az esetben , ha másik önkormányzat táblázatait készítik az Igen-ről Nem-re történő váltásra azért van szükség, hogy a 6.1 (Önkormányzati táblázatok) melléklet számai után a költségvetési szervek melléklet számai 6.2.-vel folytatódjanak. A közös hivatal táblázatai továbbra is megmaradnak, de azokat ebben az esetben nem kell kinyomtatni. Ezt a műveletet a rendszer minden blokknál (Költségvetési rendelet, költségvetési rendelet módosítása, előirányzatok nyilvántartása, időközi tájékoztató, zárszámadási rendelet) elvégzi.</a:t>
            </a:r>
            <a:endParaRPr lang="hu-HU" sz="1100"/>
          </a:p>
        </xdr:txBody>
      </xdr:sp>
      <xdr:pic>
        <xdr:nvPicPr>
          <xdr:cNvPr id="449149" name="Kép 3">
            <a:extLst>
              <a:ext uri="{FF2B5EF4-FFF2-40B4-BE49-F238E27FC236}">
                <a16:creationId xmlns:a16="http://schemas.microsoft.com/office/drawing/2014/main" id="{8B60E526-CB08-5F66-ED0A-F56AE5FE546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466" t="43756" r="75948" b="52979"/>
          <a:stretch>
            <a:fillRect/>
          </a:stretch>
        </xdr:blipFill>
        <xdr:spPr bwMode="auto">
          <a:xfrm>
            <a:off x="13374303" y="835103"/>
            <a:ext cx="1357313" cy="4817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Nyíl: balra mutató 4">
            <a:extLst>
              <a:ext uri="{FF2B5EF4-FFF2-40B4-BE49-F238E27FC236}">
                <a16:creationId xmlns:a16="http://schemas.microsoft.com/office/drawing/2014/main" id="{A94A9B83-646C-06D6-0FD0-E697D8CDCE39}"/>
              </a:ext>
            </a:extLst>
          </xdr:cNvPr>
          <xdr:cNvSpPr/>
        </xdr:nvSpPr>
        <xdr:spPr>
          <a:xfrm>
            <a:off x="12004846" y="999872"/>
            <a:ext cx="815944" cy="240428"/>
          </a:xfrm>
          <a:prstGeom prst="leftArrow">
            <a:avLst/>
          </a:prstGeom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hu-HU"/>
          </a:p>
        </xdr:txBody>
      </xdr:sp>
    </xdr:grpSp>
    <xdr:clientData/>
  </xdr:twoCellAnchor>
  <xdr:twoCellAnchor>
    <xdr:from>
      <xdr:col>20</xdr:col>
      <xdr:colOff>12704</xdr:colOff>
      <xdr:row>23</xdr:row>
      <xdr:rowOff>174939</xdr:rowOff>
    </xdr:from>
    <xdr:to>
      <xdr:col>29</xdr:col>
      <xdr:colOff>146676</xdr:colOff>
      <xdr:row>30</xdr:row>
      <xdr:rowOff>119374</xdr:rowOff>
    </xdr:to>
    <xdr:sp macro="" textlink="">
      <xdr:nvSpPr>
        <xdr:cNvPr id="6" name="Téglalap 5">
          <a:extLst>
            <a:ext uri="{FF2B5EF4-FFF2-40B4-BE49-F238E27FC236}">
              <a16:creationId xmlns:a16="http://schemas.microsoft.com/office/drawing/2014/main" id="{28E44DE0-EEE1-0708-D215-79BB4D5093C1}"/>
            </a:ext>
          </a:extLst>
        </xdr:cNvPr>
        <xdr:cNvSpPr/>
      </xdr:nvSpPr>
      <xdr:spPr>
        <a:xfrm>
          <a:off x="7727954" y="4341809"/>
          <a:ext cx="4897438" cy="12223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hu-HU" sz="1100"/>
            <a:t>A KV_1.1.sz.mell.</a:t>
          </a:r>
          <a:r>
            <a:rPr lang="hu-HU" sz="1100" baseline="0"/>
            <a:t> fülnél a </a:t>
          </a:r>
          <a:r>
            <a:rPr lang="hu-HU" sz="1100" b="1" i="1" baseline="0"/>
            <a:t>4. Közhatalmi bevételek </a:t>
          </a:r>
          <a:r>
            <a:rPr lang="hu-HU" sz="1100" baseline="0"/>
            <a:t>bevételi jogcímei, abban az esetben ha az önkormányzatnál más bevételi jogcímek is előfordulnak, akkor bármelyik bevételi jogcím átírható arra, amit szerepeltetni szeretne az önkormányzat. </a:t>
          </a:r>
        </a:p>
        <a:p>
          <a:pPr algn="l"/>
          <a:r>
            <a:rPr lang="hu-HU" sz="1100" b="1" baseline="0"/>
            <a:t>Ezt csak a KV_1.1.sz.mell. fülnél kell elvégzeni, a többi táblázat automatikusan javítódik!</a:t>
          </a:r>
          <a:endParaRPr lang="hu-HU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&#233;nz&#252;gy/K&#246;lts&#233;gvet&#233;s/ktgv_2025/Als&#243;ny&#233;k%20K&#246;zs&#233;g%20&#214;nkorm&#225;nyzat/KVIREND_Als&#243;ny&#233;k%202025_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TALOMJEGYZÉK"/>
      <sheetName val="ALAPADATOK"/>
      <sheetName val="KV_ÖSSZEFÜGGÉSEK"/>
      <sheetName val="KV_1.1.sz.mell."/>
      <sheetName val="KV_1.2.sz.mell."/>
      <sheetName val="KV_1.3.sz.mell."/>
      <sheetName val="KV_1.4.sz.mell."/>
      <sheetName val="KV_2.1.sz.mell."/>
      <sheetName val="KV_2.2.sz.mell."/>
      <sheetName val="KV_ELLENŐRZÉS"/>
      <sheetName val="KV_3.sz.mell."/>
      <sheetName val="KV_4.sz.mell."/>
      <sheetName val="KV_5.sz.mell."/>
      <sheetName val="KV_6.sz.mell."/>
      <sheetName val="KV_7.sz.mell."/>
      <sheetName val="KV_8.sz.mell."/>
      <sheetName val="KV_9.sz.mell"/>
      <sheetName val="KV_10.sz.mell"/>
      <sheetName val="KV_11.sz.mell"/>
      <sheetName val="KV_1.sz.tájékoztató_t."/>
      <sheetName val="KV_2.sz.tájékoztató_t."/>
      <sheetName val="KV_3.sz.tájékoztató_t."/>
      <sheetName val="KV_4.sz.tájékoztató_t."/>
      <sheetName val="KV_5.sz.tájékoztató_t."/>
      <sheetName val="KV_6.sz.tájékoztató_t."/>
      <sheetName val="KV_7.sz.tájékoztató_t."/>
      <sheetName val="KV_8.sz.tájékoztató_t."/>
    </sheetNames>
    <sheetDataSet>
      <sheetData sheetId="0"/>
      <sheetData sheetId="1">
        <row r="3">
          <cell r="A3" t="str">
            <v>Alsónyék Község Önkormányzata</v>
          </cell>
        </row>
        <row r="7">
          <cell r="D7" t="str">
            <v>2025.</v>
          </cell>
        </row>
      </sheetData>
      <sheetData sheetId="2">
        <row r="5">
          <cell r="A5" t="str">
            <v>2025. évi előirányzat BEVÉTELEK</v>
          </cell>
        </row>
      </sheetData>
      <sheetData sheetId="3">
        <row r="33">
          <cell r="B33" t="str">
            <v>Építményadó</v>
          </cell>
        </row>
        <row r="34">
          <cell r="B34" t="str">
            <v>Magánszemélyek kommunális adója</v>
          </cell>
        </row>
        <row r="35">
          <cell r="B35" t="str">
            <v>Iparűzési adó</v>
          </cell>
        </row>
        <row r="36">
          <cell r="B36" t="str">
            <v xml:space="preserve">Talajterhelési díj </v>
          </cell>
        </row>
        <row r="37">
          <cell r="B37" t="str">
            <v>Gépjárműadó</v>
          </cell>
        </row>
        <row r="38">
          <cell r="B38" t="str">
            <v>Telekadó</v>
          </cell>
        </row>
        <row r="39">
          <cell r="B39" t="str">
            <v>Egyéb közhatalmi bevételek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O3" t="str">
            <v>Forintban</v>
          </cell>
        </row>
      </sheetData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F45"/>
  <sheetViews>
    <sheetView zoomScale="120" zoomScaleNormal="120" workbookViewId="0">
      <selection activeCell="F10" sqref="F10"/>
    </sheetView>
  </sheetViews>
  <sheetFormatPr defaultRowHeight="13.2" x14ac:dyDescent="0.25"/>
  <cols>
    <col min="1" max="1" width="35.33203125" customWidth="1"/>
    <col min="2" max="2" width="83" customWidth="1"/>
    <col min="3" max="3" width="34.44140625" customWidth="1"/>
  </cols>
  <sheetData>
    <row r="1" spans="1:6" x14ac:dyDescent="0.25">
      <c r="A1" s="322">
        <v>2025</v>
      </c>
    </row>
    <row r="2" spans="1:6" ht="18.75" customHeight="1" x14ac:dyDescent="0.25">
      <c r="A2" s="663" t="s">
        <v>315</v>
      </c>
      <c r="B2" s="663"/>
      <c r="C2" s="663"/>
    </row>
    <row r="3" spans="1:6" ht="13.8" x14ac:dyDescent="0.25">
      <c r="A3" s="291"/>
      <c r="B3" s="292"/>
      <c r="C3" s="291"/>
    </row>
    <row r="4" spans="1:6" ht="13.8" x14ac:dyDescent="0.25">
      <c r="A4" s="293" t="s">
        <v>343</v>
      </c>
      <c r="B4" s="294" t="s">
        <v>342</v>
      </c>
      <c r="C4" s="293" t="s">
        <v>316</v>
      </c>
    </row>
    <row r="5" spans="1:6" x14ac:dyDescent="0.25">
      <c r="A5" s="295"/>
      <c r="B5" s="295"/>
      <c r="C5" s="295"/>
    </row>
    <row r="6" spans="1:6" ht="17.399999999999999" x14ac:dyDescent="0.3">
      <c r="A6" s="664" t="s">
        <v>318</v>
      </c>
      <c r="B6" s="664"/>
      <c r="C6" s="664"/>
    </row>
    <row r="7" spans="1:6" x14ac:dyDescent="0.25">
      <c r="A7" s="295" t="s">
        <v>344</v>
      </c>
      <c r="B7" s="295" t="s">
        <v>345</v>
      </c>
      <c r="C7" s="313" t="str">
        <f ca="1">HYPERLINK(SUBSTITUTE(CELL("address",ALAPADATOK!A1),"'",""),SUBSTITUTE(MID(CELL("address",ALAPADATOK!A1),SEARCH("]",CELL("address",ALAPADATOK!A1),1)+1,LEN(CELL("address",ALAPADATOK!A1))-SEARCH("]",CELL("address",ALAPADATOK!A1),1)),"'",""))</f>
        <v>ALAPADATOK!$A$1</v>
      </c>
    </row>
    <row r="8" spans="1:6" x14ac:dyDescent="0.25">
      <c r="A8" s="295" t="s">
        <v>346</v>
      </c>
      <c r="B8" s="295" t="s">
        <v>408</v>
      </c>
      <c r="C8" s="313" t="str">
        <f ca="1">HYPERLINK(SUBSTITUTE(CELL("address",KV_ÖSSZEFÜGGÉSEK!A1),"'",""),SUBSTITUTE(MID(CELL("address",KV_ÖSSZEFÜGGÉSEK!A1),SEARCH("]",CELL("address",KV_ÖSSZEFÜGGÉSEK!A1),1)+1,LEN(CELL("address",KV_ÖSSZEFÜGGÉSEK!A1))-SEARCH("]",CELL("address",KV_ÖSSZEFÜGGÉSEK!A1),1)),"'",""))</f>
        <v>KV_ÖSSZEFÜGGÉSEK!$A$1</v>
      </c>
    </row>
    <row r="9" spans="1:6" x14ac:dyDescent="0.25">
      <c r="A9" s="295" t="s">
        <v>423</v>
      </c>
      <c r="B9" s="295" t="s">
        <v>347</v>
      </c>
      <c r="C9" s="313" t="str">
        <f ca="1">HYPERLINK(SUBSTITUTE(CELL("address",'KV_1.1.sz.mell.'!A1),"'",""),SUBSTITUTE(MID(CELL("address",'KV_1.1.sz.mell.'!A1),SEARCH("]",CELL("address",'KV_1.1.sz.mell.'!A1),1)+1,LEN(CELL("address",'KV_1.1.sz.mell.'!A1))-SEARCH("]",CELL("address",'KV_1.1.sz.mell.'!A1),1)),"'",""))</f>
        <v>KV_1.1.sz.mell.!$A$1</v>
      </c>
    </row>
    <row r="10" spans="1:6" x14ac:dyDescent="0.25">
      <c r="A10" s="295" t="s">
        <v>348</v>
      </c>
      <c r="B10" s="295" t="s">
        <v>350</v>
      </c>
      <c r="C10" s="313" t="str">
        <f ca="1">HYPERLINK(SUBSTITUTE(CELL("address",'KV_1.2.sz.mell.'!A1),"'",""),SUBSTITUTE(MID(CELL("address",'KV_1.2.sz.mell.'!A1),SEARCH("]",CELL("address",'KV_1.2.sz.mell.'!A1),1)+1,LEN(CELL("address",'KV_1.2.sz.mell.'!A1))-SEARCH("]",CELL("address",'KV_1.2.sz.mell.'!A1),1)),"'",""))</f>
        <v>KV_1.2.sz.mell.!$A$1</v>
      </c>
    </row>
    <row r="11" spans="1:6" x14ac:dyDescent="0.25">
      <c r="A11" s="295" t="s">
        <v>349</v>
      </c>
      <c r="B11" s="295" t="s">
        <v>351</v>
      </c>
      <c r="C11" s="313" t="str">
        <f ca="1">HYPERLINK(SUBSTITUTE(CELL("address",'KV_1.3.sz.mell.'!A1),"'",""),SUBSTITUTE(MID(CELL("address",'KV_1.3.sz.mell.'!A1),SEARCH("]",CELL("address",'KV_1.3.sz.mell.'!A1),1)+1,LEN(CELL("address",'KV_1.3.sz.mell.'!A1))-SEARCH("]",CELL("address",'KV_1.3.sz.mell.'!A1),1)),"'",""))</f>
        <v>KV_1.3.sz.mell.!$A$1</v>
      </c>
    </row>
    <row r="12" spans="1:6" x14ac:dyDescent="0.25">
      <c r="A12" s="295" t="s">
        <v>352</v>
      </c>
      <c r="B12" s="295" t="s">
        <v>353</v>
      </c>
      <c r="C12" s="313" t="str">
        <f ca="1">HYPERLINK(SUBSTITUTE(CELL("address",'KV_1.4.sz.mell.'!A1),"'",""),SUBSTITUTE(MID(CELL("address",'KV_1.4.sz.mell.'!A1),SEARCH("]",CELL("address",'KV_1.4.sz.mell.'!A1),1)+1,LEN(CELL("address",'KV_1.4.sz.mell.'!A1))-SEARCH("]",CELL("address",'KV_1.4.sz.mell.'!A1),1)),"'",""))</f>
        <v>KV_1.4.sz.mell.!$A$1</v>
      </c>
    </row>
    <row r="13" spans="1:6" x14ac:dyDescent="0.25">
      <c r="A13" s="295" t="s">
        <v>354</v>
      </c>
      <c r="B13" s="295" t="s">
        <v>355</v>
      </c>
      <c r="C13" s="313" t="str">
        <f ca="1">HYPERLINK(SUBSTITUTE(CELL("address",'KV_2.1.sz.mell.'!A1),"'",""),SUBSTITUTE(MID(CELL("address",'KV_2.1.sz.mell.'!A1),SEARCH("]",CELL("address",'KV_2.1.sz.mell.'!A1),1)+1,LEN(CELL("address",'KV_2.1.sz.mell.'!A1))-SEARCH("]",CELL("address",'KV_2.1.sz.mell.'!A1),1)),"'",""))</f>
        <v>KV_2.1.sz.mell.!$A$1</v>
      </c>
    </row>
    <row r="14" spans="1:6" x14ac:dyDescent="0.25">
      <c r="A14" s="295" t="s">
        <v>356</v>
      </c>
      <c r="B14" s="295" t="s">
        <v>357</v>
      </c>
      <c r="C14" s="313" t="str">
        <f ca="1">HYPERLINK(SUBSTITUTE(CELL("address",'KV_2.2.sz.mell.'!A1),"'",""),SUBSTITUTE(MID(CELL("address",'KV_2.2.sz.mell.'!A1),SEARCH("]",CELL("address",'KV_2.2.sz.mell.'!A1),1)+1,LEN(CELL("address",'KV_2.2.sz.mell.'!A1))-SEARCH("]",CELL("address",'KV_2.2.sz.mell.'!A1),1)),"'",""))</f>
        <v>KV_2.2.sz.mell.!$A$1</v>
      </c>
      <c r="F14" s="313"/>
    </row>
    <row r="15" spans="1:6" x14ac:dyDescent="0.25">
      <c r="A15" s="295" t="s">
        <v>358</v>
      </c>
      <c r="B15" s="295" t="s">
        <v>359</v>
      </c>
      <c r="C15" s="313" t="str">
        <f ca="1">HYPERLINK(SUBSTITUTE(CELL("address",KV_ELLENŐRZÉS!A1),"'",""),SUBSTITUTE(MID(CELL("address",KV_ELLENŐRZÉS!A1),SEARCH("]",CELL("address",KV_ELLENŐRZÉS!A1),1)+1,LEN(CELL("address",KV_ELLENŐRZÉS!A1))-SEARCH("]",CELL("address",KV_ELLENŐRZÉS!A1),1)),"'",""))</f>
        <v>KV_ELLENŐRZÉS!$A$1</v>
      </c>
    </row>
    <row r="16" spans="1:6" x14ac:dyDescent="0.25">
      <c r="A16" s="295" t="s">
        <v>360</v>
      </c>
      <c r="B16" s="295" t="s">
        <v>361</v>
      </c>
      <c r="C16" s="313" t="str">
        <f ca="1">HYPERLINK(SUBSTITUTE(CELL("address",'KV_3.sz.mell.'!A1),"'",""),SUBSTITUTE(MID(CELL("address",'KV_3.sz.mell.'!A1),SEARCH("]",CELL("address",'KV_3.sz.mell.'!A1),1)+1,LEN(CELL("address",'KV_3.sz.mell.'!A1))-SEARCH("]",CELL("address",'KV_3.sz.mell.'!A1),1)),"'",""))</f>
        <v>KV_3.sz.mell.!$A$1</v>
      </c>
    </row>
    <row r="17" spans="1:3" x14ac:dyDescent="0.25">
      <c r="A17" s="295" t="s">
        <v>362</v>
      </c>
      <c r="B17" s="295" t="s">
        <v>363</v>
      </c>
      <c r="C17" s="313" t="str">
        <f ca="1">HYPERLINK(SUBSTITUTE(CELL("address",'KV_4.sz.mell.'!A1),"'",""),SUBSTITUTE(MID(CELL("address",'KV_4.sz.mell.'!A1),SEARCH("]",CELL("address",'KV_4.sz.mell.'!A1),1)+1,LEN(CELL("address",'KV_4.sz.mell.'!A1))-SEARCH("]",CELL("address",'KV_4.sz.mell.'!A1),1)),"'",""))</f>
        <v>KV_4.sz.mell.!$A$1</v>
      </c>
    </row>
    <row r="18" spans="1:3" x14ac:dyDescent="0.25">
      <c r="A18" s="295" t="s">
        <v>365</v>
      </c>
      <c r="B18" s="295" t="s">
        <v>364</v>
      </c>
      <c r="C18" s="313" t="str">
        <f ca="1">HYPERLINK(SUBSTITUTE(CELL("address",'KV_5.sz.mell.'!A1),"'",""),SUBSTITUTE(MID(CELL("address",'KV_5.sz.mell.'!A1),SEARCH("]",CELL("address",'KV_5.sz.mell.'!A1),1)+1,LEN(CELL("address",'KV_5.sz.mell.'!A1))-SEARCH("]",CELL("address",'KV_5.sz.mell.'!A1),1)),"'",""))</f>
        <v>KV_5.sz.mell.!$A$1</v>
      </c>
    </row>
    <row r="19" spans="1:3" x14ac:dyDescent="0.25">
      <c r="A19" s="295" t="s">
        <v>366</v>
      </c>
      <c r="B19" s="295" t="s">
        <v>367</v>
      </c>
      <c r="C19" s="313" t="str">
        <f ca="1">HYPERLINK(SUBSTITUTE(CELL("address",'KV_6.sz.mell.'!A1),"'",""),SUBSTITUTE(MID(CELL("address",'KV_6.sz.mell.'!A1),SEARCH("]",CELL("address",'KV_6.sz.mell.'!A1),1)+1,LEN(CELL("address",'KV_6.sz.mell.'!A1))-SEARCH("]",CELL("address",'KV_6.sz.mell.'!A1),1)),"'",""))</f>
        <v>KV_6.sz.mell.!$A$1</v>
      </c>
    </row>
    <row r="20" spans="1:3" x14ac:dyDescent="0.25">
      <c r="A20" s="295" t="s">
        <v>368</v>
      </c>
      <c r="B20" s="295" t="s">
        <v>369</v>
      </c>
      <c r="C20" s="313" t="str">
        <f ca="1">HYPERLINK(SUBSTITUTE(CELL("address",'KV_7.sz.mell.'!A1),"'",""),SUBSTITUTE(MID(CELL("address",'KV_7.sz.mell.'!A1),SEARCH("]",CELL("address",'KV_7.sz.mell.'!A1),1)+1,LEN(CELL("address",'KV_7.sz.mell.'!A1))-SEARCH("]",CELL("address",'KV_7.sz.mell.'!A1),1)),"'",""))</f>
        <v>KV_7.sz.mell.!$A$1</v>
      </c>
    </row>
    <row r="21" spans="1:3" x14ac:dyDescent="0.25">
      <c r="A21" s="295" t="s">
        <v>370</v>
      </c>
      <c r="B21" s="295" t="s">
        <v>371</v>
      </c>
      <c r="C21" s="313" t="str">
        <f ca="1">HYPERLINK(SUBSTITUTE(CELL("address",'KV_8.sz.mell.'!A1),"'",""),SUBSTITUTE(MID(CELL("address",'KV_8.sz.mell.'!A1),SEARCH("]",CELL("address",'KV_8.sz.mell.'!A1),1)+1,LEN(CELL("address",'KV_8.sz.mell.'!A1))-SEARCH("]",CELL("address",'KV_8.sz.mell.'!A1),1)),"'",""))</f>
        <v>KV_8.sz.mell.!$A$1</v>
      </c>
    </row>
    <row r="22" spans="1:3" x14ac:dyDescent="0.25">
      <c r="A22" s="299" t="s">
        <v>372</v>
      </c>
      <c r="B22" s="295" t="s">
        <v>373</v>
      </c>
      <c r="C22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23" spans="1:3" x14ac:dyDescent="0.25">
      <c r="A23" s="300" t="s">
        <v>374</v>
      </c>
      <c r="B23" s="295" t="s">
        <v>375</v>
      </c>
      <c r="C23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24" spans="1:3" x14ac:dyDescent="0.25">
      <c r="A24" s="295" t="s">
        <v>376</v>
      </c>
      <c r="B24" s="295" t="s">
        <v>377</v>
      </c>
      <c r="C24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25" spans="1:3" x14ac:dyDescent="0.25">
      <c r="A25" s="295" t="s">
        <v>378</v>
      </c>
      <c r="B25" s="295" t="s">
        <v>379</v>
      </c>
      <c r="C25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26" spans="1:3" x14ac:dyDescent="0.25">
      <c r="A26" s="295" t="s">
        <v>380</v>
      </c>
      <c r="B26" s="295" t="s">
        <v>381</v>
      </c>
      <c r="C26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27" spans="1:3" x14ac:dyDescent="0.25">
      <c r="A27" s="295" t="s">
        <v>382</v>
      </c>
      <c r="B27" s="295" t="str">
        <f>CONCATENATE(ALAPADATOK!B13)</f>
        <v>1 kvi név</v>
      </c>
      <c r="C27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28" spans="1:3" x14ac:dyDescent="0.25">
      <c r="A28" s="295" t="s">
        <v>383</v>
      </c>
      <c r="B28" s="295" t="str">
        <f>CONCATENATE(ALAPADATOK!B15)</f>
        <v>2 kvi név</v>
      </c>
      <c r="C28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29" spans="1:3" x14ac:dyDescent="0.25">
      <c r="A29" s="295" t="s">
        <v>390</v>
      </c>
      <c r="B29" s="295" t="str">
        <f>CONCATENATE(ALAPADATOK!B17)</f>
        <v>3 kvi név</v>
      </c>
      <c r="C29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30" spans="1:3" x14ac:dyDescent="0.25">
      <c r="A30" s="295" t="s">
        <v>391</v>
      </c>
      <c r="B30" s="295" t="str">
        <f>CONCATENATE(ALAPADATOK!B19)</f>
        <v>4 kvi név</v>
      </c>
      <c r="C30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31" spans="1:3" x14ac:dyDescent="0.25">
      <c r="A31" s="295" t="s">
        <v>392</v>
      </c>
      <c r="B31" s="295" t="str">
        <f>CONCATENATE(ALAPADATOK!B21)</f>
        <v>5 kvi név</v>
      </c>
      <c r="C31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32" spans="1:3" x14ac:dyDescent="0.25">
      <c r="A32" s="295" t="s">
        <v>393</v>
      </c>
      <c r="B32" s="295" t="str">
        <f>CONCATENATE(ALAPADATOK!B23)</f>
        <v>6 kvi név</v>
      </c>
      <c r="C32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33" spans="1:3" x14ac:dyDescent="0.25">
      <c r="A33" s="295" t="s">
        <v>394</v>
      </c>
      <c r="B33" s="295" t="str">
        <f>CONCATENATE(ALAPADATOK!B25)</f>
        <v>7 kvi név</v>
      </c>
      <c r="C33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34" spans="1:3" x14ac:dyDescent="0.25">
      <c r="A34" s="295" t="s">
        <v>395</v>
      </c>
      <c r="B34" s="295" t="str">
        <f>CONCATENATE(ALAPADATOK!B27)</f>
        <v>8 kvi név</v>
      </c>
      <c r="C34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35" spans="1:3" x14ac:dyDescent="0.25">
      <c r="A35" s="295" t="s">
        <v>396</v>
      </c>
      <c r="B35" s="295" t="str">
        <f>CONCATENATE(ALAPADATOK!B29)</f>
        <v>9 kvi név</v>
      </c>
      <c r="C35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36" spans="1:3" x14ac:dyDescent="0.25">
      <c r="A36" s="295" t="s">
        <v>397</v>
      </c>
      <c r="B36" s="295" t="str">
        <f>CONCATENATE(ALAPADATOK!B31)</f>
        <v>10 kvi név</v>
      </c>
      <c r="C36" s="313" t="e">
        <f ca="1">HYPERLINK(SUBSTITUTE(CELL("address",#REF!),"'",""),SUBSTITUTE(MID(CELL("address",#REF!),SEARCH("]",CELL("address",#REF!),1)+1,LEN(CELL("address",#REF!))-SEARCH("]",CELL("address",#REF!),1)),"'",""))</f>
        <v>#REF!</v>
      </c>
    </row>
    <row r="37" spans="1:3" x14ac:dyDescent="0.25">
      <c r="A37" s="295" t="s">
        <v>398</v>
      </c>
      <c r="B37" s="295" t="s">
        <v>404</v>
      </c>
      <c r="C37" s="313" t="str">
        <f ca="1">HYPERLINK(SUBSTITUTE(CELL("address",'KV_9.sz.mell'!A1),"'",""),SUBSTITUTE(MID(CELL("address",'KV_9.sz.mell'!A1),SEARCH("]",CELL("address",'KV_9.sz.mell'!A1),1)+1,LEN(CELL("address",'KV_9.sz.mell'!A1))-SEARCH("]",CELL("address",'KV_9.sz.mell'!A1),1)),"'",""))</f>
        <v>KV_9.sz.mell!$A$1</v>
      </c>
    </row>
    <row r="38" spans="1:3" x14ac:dyDescent="0.25">
      <c r="A38" s="295" t="s">
        <v>563</v>
      </c>
      <c r="B38" s="295" t="str">
        <f>CONCATENATE(A1,". évi általános működés és ágazati feladatok támogatásának alakulása jogcímenként")</f>
        <v>2025. évi általános működés és ágazati feladatok támogatásának alakulása jogcímenként</v>
      </c>
      <c r="C38" s="313" t="s">
        <v>561</v>
      </c>
    </row>
    <row r="39" spans="1:3" x14ac:dyDescent="0.25">
      <c r="A39" s="295" t="s">
        <v>564</v>
      </c>
      <c r="B39" s="295" t="str">
        <f>CONCATENATE("Kimutatás a ",A1,". évben céljelleggel juttatott támogatásokról")</f>
        <v>Kimutatás a 2025. évben céljelleggel juttatott támogatásokról</v>
      </c>
      <c r="C39" s="313" t="s">
        <v>562</v>
      </c>
    </row>
    <row r="40" spans="1:3" x14ac:dyDescent="0.25">
      <c r="A40" s="295" t="s">
        <v>399</v>
      </c>
      <c r="B40" s="295" t="str">
        <f>CONCATENATE("Tájékoztató a ",A1-3,". évi tény, ",A1-2,". évi várható és ",A1-1,". évi terv adatokról")</f>
        <v>Tájékoztató a 2022. évi tény, 2023. évi várható és 2024. évi terv adatokról</v>
      </c>
      <c r="C40" s="313" t="str">
        <f ca="1">HYPERLINK(SUBSTITUTE(CELL("address",'KV_12.sz.mell'!A1),"'",""),SUBSTITUTE(MID(CELL("address",'KV_12.sz.mell'!A1),SEARCH("]",CELL("address",'KV_12.sz.mell'!A1),1)+1,LEN(CELL("address",'KV_12.sz.mell'!A1))-SEARCH("]",CELL("address",'KV_12.sz.mell'!A1),1)),"'",""))</f>
        <v>KV_12.sz.mell!$A$1</v>
      </c>
    </row>
    <row r="41" spans="1:3" x14ac:dyDescent="0.25">
      <c r="A41" s="295" t="s">
        <v>400</v>
      </c>
      <c r="B41" s="314" t="s">
        <v>3</v>
      </c>
      <c r="C41" s="313" t="str">
        <f ca="1">HYPERLINK(SUBSTITUTE(CELL("address",'KV_13.sz.mell'!A1),"'",""),SUBSTITUTE(MID(CELL("address",'KV_13.sz.mell'!A1),SEARCH("]",CELL("address",'KV_13.sz.mell'!A1),1)+1,LEN(CELL("address",'KV_13.sz.mell'!A1))-SEARCH("]",CELL("address",'KV_13.sz.mell'!A1),1)),"'",""))</f>
        <v>KV_13.sz.mell!$A$1</v>
      </c>
    </row>
    <row r="42" spans="1:3" x14ac:dyDescent="0.25">
      <c r="A42" s="295" t="s">
        <v>401</v>
      </c>
      <c r="B42" s="295" t="s">
        <v>405</v>
      </c>
      <c r="C42" s="313" t="str">
        <f ca="1">HYPERLINK(SUBSTITUTE(CELL("address",'KV_14.sz.mell'!A1),"'",""),SUBSTITUTE(MID(CELL("address",'KV_14.sz.mell'!A1),SEARCH("]",CELL("address",'KV_14.sz.mell'!A1),1)+1,LEN(CELL("address",'KV_14.sz.mell'!A1))-SEARCH("]",CELL("address",'KV_14.sz.mell'!A1),1)),"'",""))</f>
        <v>KV_14.sz.mell!$A$1</v>
      </c>
    </row>
    <row r="43" spans="1:3" x14ac:dyDescent="0.25">
      <c r="A43" s="295" t="s">
        <v>402</v>
      </c>
      <c r="B43" s="295" t="str">
        <f>CONCATENATE("Előirányzat-felhasználási terv ",A1,". Évre")</f>
        <v>Előirányzat-felhasználási terv 2025. Évre</v>
      </c>
      <c r="C43" s="313" t="str">
        <f ca="1">HYPERLINK(SUBSTITUTE(CELL("address",'KV_15.sz.mell'!A1),"'",""),SUBSTITUTE(MID(CELL("address",'KV_15.sz.mell'!A1),SEARCH("]",CELL("address",'KV_15.sz.mell'!A1),1)+1,LEN(CELL("address",'KV_15.sz.mell'!A1))-SEARCH("]",CELL("address",'KV_15.sz.mell'!A1),1)),"'",""))</f>
        <v>KV_15.sz.mell!$A$1</v>
      </c>
    </row>
    <row r="44" spans="1:3" x14ac:dyDescent="0.25">
      <c r="A44" s="295" t="s">
        <v>403</v>
      </c>
      <c r="B44" s="295" t="str">
        <f>CONCATENATE(A1,". évi költségvetési évet követő 3 év tervezett kiadásai, bevételei")</f>
        <v>2025. évi költségvetési évet követő 3 év tervezett kiadásai, bevételei</v>
      </c>
      <c r="C44" s="313" t="str">
        <f ca="1">HYPERLINK(SUBSTITUTE(CELL("address",'KV_16.sz.mell'!A2),"'",""),SUBSTITUTE(MID(CELL("address",'KV_16.sz.mell'!A2),SEARCH("]",CELL("address",'KV_16.sz.mell'!A3),1)+1,LEN(CELL("address",'KV_16.sz.mell'!A3))-SEARCH("]",CELL("address",'KV_16.sz.mell'!A3),1)),"'",""))</f>
        <v>KV_16.sz.mell!$A$2</v>
      </c>
    </row>
    <row r="45" spans="1:3" x14ac:dyDescent="0.25">
      <c r="A45" s="295" t="s">
        <v>358</v>
      </c>
      <c r="B45" s="295" t="e">
        <f>#REF!</f>
        <v>#REF!</v>
      </c>
      <c r="C45" s="313" t="s">
        <v>580</v>
      </c>
    </row>
  </sheetData>
  <mergeCells count="2">
    <mergeCell ref="A2:C2"/>
    <mergeCell ref="A6:C6"/>
  </mergeCells>
  <hyperlinks>
    <hyperlink ref="C38" location="KV_11.sz.mell!A1" display="KV_11.sz.mell!A1" xr:uid="{00000000-0004-0000-0000-000000000000}"/>
    <hyperlink ref="C39" location="KV_12.sz.mell!A1" display="KV_12.sz.mell!A1" xr:uid="{00000000-0004-0000-0000-000001000000}"/>
    <hyperlink ref="C45" location="ELLENŐRZÉS_KV!A1" display="ELLENŐRZÉS_KV!A1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scale="81" orientation="landscape" r:id="rId1"/>
  <rowBreaks count="1" manualBreakCount="1">
    <brk id="4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2">
    <tabColor rgb="FF92D050"/>
    <pageSetUpPr fitToPage="1"/>
  </sheetPr>
  <dimension ref="A1:E19"/>
  <sheetViews>
    <sheetView zoomScale="120" zoomScaleNormal="120" workbookViewId="0">
      <selection activeCell="E31" sqref="E30:E31"/>
    </sheetView>
  </sheetViews>
  <sheetFormatPr defaultRowHeight="13.2" x14ac:dyDescent="0.25"/>
  <cols>
    <col min="1" max="1" width="46.33203125" customWidth="1"/>
    <col min="2" max="2" width="16.77734375" customWidth="1"/>
    <col min="3" max="3" width="66.6640625" customWidth="1"/>
    <col min="4" max="4" width="15.77734375" customWidth="1"/>
    <col min="5" max="5" width="17.6640625" customWidth="1"/>
  </cols>
  <sheetData>
    <row r="1" spans="1:5" ht="17.399999999999999" x14ac:dyDescent="0.3">
      <c r="A1" s="77" t="s">
        <v>103</v>
      </c>
      <c r="E1" s="80" t="s">
        <v>106</v>
      </c>
    </row>
    <row r="3" spans="1:5" x14ac:dyDescent="0.25">
      <c r="A3" s="78"/>
      <c r="B3" s="86"/>
      <c r="C3" s="78"/>
      <c r="D3" s="79"/>
      <c r="E3" s="86"/>
    </row>
    <row r="4" spans="1:5" ht="15.6" x14ac:dyDescent="0.3">
      <c r="A4" s="54" t="str">
        <f>+KV_ÖSSZEFÜGGÉSEK!A5</f>
        <v>2025. évi előirányzat BEVÉTELEK</v>
      </c>
      <c r="B4" s="87"/>
      <c r="C4" s="90"/>
      <c r="D4" s="79"/>
      <c r="E4" s="86"/>
    </row>
    <row r="5" spans="1:5" x14ac:dyDescent="0.25">
      <c r="A5" s="78"/>
      <c r="B5" s="86"/>
      <c r="C5" s="78"/>
      <c r="D5" s="79"/>
      <c r="E5" s="86"/>
    </row>
    <row r="6" spans="1:5" x14ac:dyDescent="0.25">
      <c r="A6" s="78" t="str">
        <f>CONCATENATE(KV_ÖSSZEFÜGGÉSEK!A7)</f>
        <v>KV_1.1.sz.mell. Bevételek táblázat B oszlop 59 sora =</v>
      </c>
      <c r="B6" s="86">
        <f>+'KV_1.1.sz.mell.'!C68</f>
        <v>191630632</v>
      </c>
      <c r="C6" s="78" t="str">
        <f>CONCATENATE(KV_ÖSSZEFÜGGÉSEK!B7)</f>
        <v xml:space="preserve">KV_2.1.sz.mell. táblázat B oszlop 13 sor + KV_2.2.sz.mell. táblázat B oszlop 12 sor </v>
      </c>
      <c r="D6" s="86">
        <f>+'KV_2.1.sz.mell.'!C18+'KV_2.2.sz.mell.'!C17</f>
        <v>191630632</v>
      </c>
      <c r="E6" s="86">
        <f t="shared" ref="E6:E15" si="0">+B6-D6</f>
        <v>0</v>
      </c>
    </row>
    <row r="7" spans="1:5" x14ac:dyDescent="0.25">
      <c r="A7" s="78" t="str">
        <f>CONCATENATE(KV_ÖSSZEFÜGGÉSEK!A8)</f>
        <v>KV_1.1.sz.mell. Bevételek táblázat B oszlop 83 sora =</v>
      </c>
      <c r="B7" s="86">
        <f>+'KV_1.1.sz.mell.'!C92</f>
        <v>29029186</v>
      </c>
      <c r="C7" s="78" t="str">
        <f>CONCATENATE(KV_ÖSSZEFÜGGÉSEK!B8)</f>
        <v xml:space="preserve">KV_2.1.sz.mell. táblázat B oszlop 24 sor + KV_2.2.sz.mell. táblázat B oszlop 25 sor </v>
      </c>
      <c r="D7" s="86">
        <f>+'KV_2.1.sz.mell.'!C29+'KV_2.2.sz.mell.'!C30</f>
        <v>29029186</v>
      </c>
      <c r="E7" s="86">
        <f t="shared" si="0"/>
        <v>0</v>
      </c>
    </row>
    <row r="8" spans="1:5" x14ac:dyDescent="0.25">
      <c r="A8" s="78" t="str">
        <f>CONCATENATE(KV_ÖSSZEFÜGGÉSEK!A9)</f>
        <v>KV_1.1.sz.mell. Bevételek táblázat B oszlop 84 sora =</v>
      </c>
      <c r="B8" s="86">
        <f>+'KV_1.1.sz.mell.'!C93</f>
        <v>220659818</v>
      </c>
      <c r="C8" s="78" t="str">
        <f>CONCATENATE(KV_ÖSSZEFÜGGÉSEK!B9)</f>
        <v xml:space="preserve">KV_2.1.sz.mell. táblázat B oszlop 25 sor + KV_2.2.sz.mell. táblázat B oszlop 26 sor </v>
      </c>
      <c r="D8" s="86">
        <f>+'KV_2.1.sz.mell.'!C30+'KV_2.2.sz.mell.'!C31</f>
        <v>220659818</v>
      </c>
      <c r="E8" s="86">
        <f t="shared" si="0"/>
        <v>0</v>
      </c>
    </row>
    <row r="9" spans="1:5" x14ac:dyDescent="0.25">
      <c r="A9" s="78"/>
      <c r="B9" s="86"/>
      <c r="C9" s="78"/>
      <c r="D9" s="86"/>
      <c r="E9" s="86"/>
    </row>
    <row r="10" spans="1:5" x14ac:dyDescent="0.25">
      <c r="A10" s="78"/>
      <c r="B10" s="86"/>
      <c r="C10" s="78"/>
      <c r="D10" s="86"/>
      <c r="E10" s="86"/>
    </row>
    <row r="11" spans="1:5" ht="15.6" x14ac:dyDescent="0.3">
      <c r="A11" s="54" t="str">
        <f>+KV_ÖSSZEFÜGGÉSEK!A12</f>
        <v>2025. évi előirányzat KIADÁSOK</v>
      </c>
      <c r="B11" s="87"/>
      <c r="C11" s="90"/>
      <c r="D11" s="86"/>
      <c r="E11" s="86"/>
    </row>
    <row r="12" spans="1:5" x14ac:dyDescent="0.25">
      <c r="A12" s="78"/>
      <c r="B12" s="86"/>
      <c r="C12" s="78"/>
      <c r="D12" s="86"/>
      <c r="E12" s="86"/>
    </row>
    <row r="13" spans="1:5" x14ac:dyDescent="0.25">
      <c r="A13" s="78" t="str">
        <f>CONCATENATE(KV_ÖSSZEFÜGGÉSEK!A14)</f>
        <v>KV_1.1.sz.mell. Kiadások táblázat B oszlop 36 sora =</v>
      </c>
      <c r="B13" s="86">
        <f>+'KV_1.1.sz.mell.'!C134</f>
        <v>219864513</v>
      </c>
      <c r="C13" s="78" t="str">
        <f>CONCATENATE(KV_ÖSSZEFÜGGÉSEK!B14)</f>
        <v xml:space="preserve">KV_2.1.sz.mell. táblázat D oszlop 13 sor + KV_2.2.sz.mell. táblázat D oszlop 12 sor </v>
      </c>
      <c r="D13" s="86">
        <f>+'KV_2.1.sz.mell.'!E18+'KV_2.2.sz.mell.'!E17</f>
        <v>219864513</v>
      </c>
      <c r="E13" s="86">
        <f t="shared" si="0"/>
        <v>0</v>
      </c>
    </row>
    <row r="14" spans="1:5" x14ac:dyDescent="0.25">
      <c r="A14" s="78" t="str">
        <f>CONCATENATE(KV_ÖSSZEFÜGGÉSEK!A15)</f>
        <v>KV_1.1.sz.mell. Kiadások táblázat B oszlop 61 sora =</v>
      </c>
      <c r="B14" s="86">
        <f>+'KV_1.1.sz.mell.'!C159</f>
        <v>795305</v>
      </c>
      <c r="C14" s="78" t="str">
        <f>CONCATENATE(KV_ÖSSZEFÜGGÉSEK!B15)</f>
        <v xml:space="preserve">KV_2.1.sz.mell. táblázat D oszlop 24 sor + KV_2.2.sz.mell. táblázat D oszlop 25 sor </v>
      </c>
      <c r="D14" s="86">
        <f>+'KV_2.1.sz.mell.'!E29+'KV_2.2.sz.mell.'!E30</f>
        <v>795305</v>
      </c>
      <c r="E14" s="86">
        <f t="shared" si="0"/>
        <v>0</v>
      </c>
    </row>
    <row r="15" spans="1:5" x14ac:dyDescent="0.25">
      <c r="A15" s="78" t="str">
        <f>CONCATENATE(KV_ÖSSZEFÜGGÉSEK!A16)</f>
        <v>KV_1.1.sz.mell. Kiadások táblázat B oszlop 62 sora =</v>
      </c>
      <c r="B15" s="86">
        <f>+'KV_1.1.sz.mell.'!C160</f>
        <v>220659818</v>
      </c>
      <c r="C15" s="78" t="str">
        <f>CONCATENATE(KV_ÖSSZEFÜGGÉSEK!B16)</f>
        <v xml:space="preserve">KV_2.1.sz.mell. táblázat D oszlop 25 sor + KV_2.2.sz.mell. táblázat D oszlop 26 sor </v>
      </c>
      <c r="D15" s="86">
        <f>+'KV_2.1.sz.mell.'!E30+'KV_2.2.sz.mell.'!E31</f>
        <v>220659818</v>
      </c>
      <c r="E15" s="86">
        <f t="shared" si="0"/>
        <v>0</v>
      </c>
    </row>
    <row r="16" spans="1:5" x14ac:dyDescent="0.25">
      <c r="A16" s="78"/>
      <c r="B16" s="78"/>
      <c r="C16" s="78"/>
      <c r="D16" s="79"/>
      <c r="E16" s="79"/>
    </row>
    <row r="17" spans="1:5" x14ac:dyDescent="0.25">
      <c r="A17" s="78"/>
      <c r="B17" s="78"/>
      <c r="C17" s="78"/>
      <c r="D17" s="78"/>
      <c r="E17" s="78"/>
    </row>
    <row r="18" spans="1:5" x14ac:dyDescent="0.25">
      <c r="A18" s="78"/>
      <c r="B18" s="78"/>
      <c r="C18" s="78"/>
      <c r="D18" s="78"/>
      <c r="E18" s="78"/>
    </row>
    <row r="19" spans="1:5" x14ac:dyDescent="0.25">
      <c r="A19" s="78"/>
      <c r="B19" s="78"/>
      <c r="C19" s="78"/>
      <c r="D19" s="78"/>
      <c r="E19" s="78"/>
    </row>
  </sheetData>
  <phoneticPr fontId="28" type="noConversion"/>
  <conditionalFormatting sqref="E3:E15">
    <cfRule type="cellIs" dxfId="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3">
    <tabColor rgb="FF92D050"/>
  </sheetPr>
  <dimension ref="A2:G14"/>
  <sheetViews>
    <sheetView zoomScale="120" zoomScaleNormal="120" workbookViewId="0">
      <selection activeCell="A5" sqref="A5:F14"/>
    </sheetView>
  </sheetViews>
  <sheetFormatPr defaultColWidth="9.33203125" defaultRowHeight="13.8" x14ac:dyDescent="0.25"/>
  <cols>
    <col min="1" max="1" width="5.6640625" style="92" customWidth="1"/>
    <col min="2" max="2" width="35.6640625" style="92" customWidth="1"/>
    <col min="3" max="6" width="14" style="92" customWidth="1"/>
    <col min="7" max="16384" width="9.33203125" style="92"/>
  </cols>
  <sheetData>
    <row r="2" spans="1:7" x14ac:dyDescent="0.25">
      <c r="B2" s="677" t="str">
        <f>CONCATENATE("3. melléklet ",ALAPADATOK!A7," ",ALAPADATOK!B7," ",ALAPADATOK!C7," ",ALAPADATOK!D7," ",ALAPADATOK!E7," ",ALAPADATOK!F7," ",ALAPADATOK!G7," ",ALAPADATOK!H7)</f>
        <v>3. melléklet a … / 2025. ( … ) önkormányzati rendelethez</v>
      </c>
      <c r="C2" s="677"/>
      <c r="D2" s="677"/>
      <c r="E2" s="677"/>
      <c r="F2" s="677"/>
    </row>
    <row r="4" spans="1:7" ht="33.15" customHeight="1" x14ac:dyDescent="0.25">
      <c r="A4" s="689" t="str">
        <f>CONCATENATE(ALAPADATOK!A3," adósságot keletkeztető ügyletekből és kezességvállalásokból fennálló kötelezettségei")</f>
        <v>Alsónyék Község Önkormányzata adósságot keletkeztető ügyletekből és kezességvállalásokból fennálló kötelezettségei</v>
      </c>
      <c r="B4" s="689"/>
      <c r="C4" s="689"/>
      <c r="D4" s="689"/>
      <c r="E4" s="689"/>
      <c r="F4" s="689"/>
    </row>
    <row r="5" spans="1:7" ht="15.9" customHeight="1" thickBot="1" x14ac:dyDescent="0.35">
      <c r="A5" s="93"/>
      <c r="B5" s="93"/>
      <c r="C5" s="690"/>
      <c r="D5" s="690"/>
      <c r="E5" s="697" t="str">
        <f>'KV_2.2.sz.mell.'!E2</f>
        <v>Forintban!</v>
      </c>
      <c r="F5" s="697"/>
      <c r="G5" s="99"/>
    </row>
    <row r="6" spans="1:7" ht="63.15" customHeight="1" x14ac:dyDescent="0.25">
      <c r="A6" s="693" t="s">
        <v>14</v>
      </c>
      <c r="B6" s="695" t="s">
        <v>133</v>
      </c>
      <c r="C6" s="695" t="s">
        <v>175</v>
      </c>
      <c r="D6" s="695"/>
      <c r="E6" s="695"/>
      <c r="F6" s="691" t="s">
        <v>290</v>
      </c>
    </row>
    <row r="7" spans="1:7" ht="14.4" thickBot="1" x14ac:dyDescent="0.3">
      <c r="A7" s="694"/>
      <c r="B7" s="696"/>
      <c r="C7" s="242">
        <f>+LEFT(KV_ÖSSZEFÜGGÉSEK!A5,4)+1</f>
        <v>2026</v>
      </c>
      <c r="D7" s="242">
        <f>+C7+1</f>
        <v>2027</v>
      </c>
      <c r="E7" s="242">
        <f>+D7+1</f>
        <v>2028</v>
      </c>
      <c r="F7" s="692"/>
    </row>
    <row r="8" spans="1:7" ht="14.4" thickBot="1" x14ac:dyDescent="0.3">
      <c r="A8" s="96"/>
      <c r="B8" s="97" t="s">
        <v>281</v>
      </c>
      <c r="C8" s="97" t="s">
        <v>282</v>
      </c>
      <c r="D8" s="97" t="s">
        <v>283</v>
      </c>
      <c r="E8" s="97" t="s">
        <v>285</v>
      </c>
      <c r="F8" s="98" t="s">
        <v>284</v>
      </c>
    </row>
    <row r="9" spans="1:7" x14ac:dyDescent="0.25">
      <c r="A9" s="95" t="s">
        <v>16</v>
      </c>
      <c r="B9" s="426"/>
      <c r="C9" s="427"/>
      <c r="D9" s="427"/>
      <c r="E9" s="427"/>
      <c r="F9" s="428">
        <f>SUM(C9:E9)</f>
        <v>0</v>
      </c>
    </row>
    <row r="10" spans="1:7" x14ac:dyDescent="0.25">
      <c r="A10" s="94" t="s">
        <v>17</v>
      </c>
      <c r="B10" s="429"/>
      <c r="C10" s="430"/>
      <c r="D10" s="430"/>
      <c r="E10" s="430"/>
      <c r="F10" s="431">
        <f>SUM(C10:E10)</f>
        <v>0</v>
      </c>
    </row>
    <row r="11" spans="1:7" x14ac:dyDescent="0.25">
      <c r="A11" s="94" t="s">
        <v>18</v>
      </c>
      <c r="B11" s="429"/>
      <c r="C11" s="430"/>
      <c r="D11" s="430"/>
      <c r="E11" s="430"/>
      <c r="F11" s="431">
        <f>SUM(C11:E11)</f>
        <v>0</v>
      </c>
    </row>
    <row r="12" spans="1:7" x14ac:dyDescent="0.25">
      <c r="A12" s="94" t="s">
        <v>19</v>
      </c>
      <c r="B12" s="429"/>
      <c r="C12" s="430"/>
      <c r="D12" s="430"/>
      <c r="E12" s="430"/>
      <c r="F12" s="431">
        <f>SUM(C12:E12)</f>
        <v>0</v>
      </c>
    </row>
    <row r="13" spans="1:7" ht="14.4" thickBot="1" x14ac:dyDescent="0.3">
      <c r="A13" s="100" t="s">
        <v>20</v>
      </c>
      <c r="B13" s="432"/>
      <c r="C13" s="433"/>
      <c r="D13" s="433"/>
      <c r="E13" s="433"/>
      <c r="F13" s="431">
        <f>SUM(C13:E13)</f>
        <v>0</v>
      </c>
    </row>
    <row r="14" spans="1:7" s="232" customFormat="1" ht="14.4" thickBot="1" x14ac:dyDescent="0.3">
      <c r="A14" s="231" t="s">
        <v>21</v>
      </c>
      <c r="B14" s="434" t="s">
        <v>134</v>
      </c>
      <c r="C14" s="435">
        <f>SUM(C9:C13)</f>
        <v>0</v>
      </c>
      <c r="D14" s="435">
        <f>SUM(D9:D13)</f>
        <v>0</v>
      </c>
      <c r="E14" s="435">
        <f>SUM(E9:E13)</f>
        <v>0</v>
      </c>
      <c r="F14" s="436">
        <f>SUM(F9:F13)</f>
        <v>0</v>
      </c>
    </row>
  </sheetData>
  <mergeCells count="8">
    <mergeCell ref="B2:F2"/>
    <mergeCell ref="A4:F4"/>
    <mergeCell ref="C5:D5"/>
    <mergeCell ref="F6:F7"/>
    <mergeCell ref="A6:A7"/>
    <mergeCell ref="B6:B7"/>
    <mergeCell ref="C6:E6"/>
    <mergeCell ref="E5:F5"/>
  </mergeCells>
  <phoneticPr fontId="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4">
    <tabColor rgb="FF92D050"/>
  </sheetPr>
  <dimension ref="A2:D15"/>
  <sheetViews>
    <sheetView zoomScale="120" zoomScaleNormal="120" workbookViewId="0">
      <selection activeCell="A5" sqref="A5:C15"/>
    </sheetView>
  </sheetViews>
  <sheetFormatPr defaultColWidth="9.33203125" defaultRowHeight="13.8" x14ac:dyDescent="0.25"/>
  <cols>
    <col min="1" max="1" width="5.6640625" style="92" customWidth="1"/>
    <col min="2" max="2" width="68.6640625" style="92" customWidth="1"/>
    <col min="3" max="3" width="19.44140625" style="92" customWidth="1"/>
    <col min="4" max="16384" width="9.33203125" style="92"/>
  </cols>
  <sheetData>
    <row r="2" spans="1:4" x14ac:dyDescent="0.25">
      <c r="B2" s="677" t="str">
        <f>CONCATENATE("4. melléklet ",ALAPADATOK!A7," ",ALAPADATOK!B7," ",ALAPADATOK!C7," ",ALAPADATOK!D7," ",ALAPADATOK!E7," ",ALAPADATOK!F7," ",ALAPADATOK!G7," ",ALAPADATOK!H7)</f>
        <v>4. melléklet a … / 2025. ( … ) önkormányzati rendelethez</v>
      </c>
      <c r="C2" s="677"/>
    </row>
    <row r="4" spans="1:4" ht="48.75" customHeight="1" x14ac:dyDescent="0.25">
      <c r="A4" s="698" t="str">
        <f>CONCATENATE(ALAPADATOK!A3," saját bevételeinek részletezése az adósságot keletkeztető ügyletből származó tárgyévi fizetési kötelezettség megállapításához")</f>
        <v>Alsónyék Község Önkormányzata saját bevételeinek részletezése az adósságot keletkeztető ügyletből származó tárgyévi fizetési kötelezettség megállapításához</v>
      </c>
      <c r="B4" s="698"/>
      <c r="C4" s="698"/>
    </row>
    <row r="5" spans="1:4" ht="15.9" customHeight="1" thickBot="1" x14ac:dyDescent="0.35">
      <c r="A5" s="93"/>
      <c r="B5" s="93"/>
      <c r="C5" s="425" t="str">
        <f>'KV_2.2.sz.mell.'!E2</f>
        <v>Forintban!</v>
      </c>
      <c r="D5" s="99"/>
    </row>
    <row r="6" spans="1:4" ht="26.4" customHeight="1" thickBot="1" x14ac:dyDescent="0.3">
      <c r="A6" s="110" t="s">
        <v>14</v>
      </c>
      <c r="B6" s="111" t="s">
        <v>132</v>
      </c>
      <c r="C6" s="112" t="str">
        <f>+'KV_1.1.sz.mell.'!C8</f>
        <v>2025. évi előirányzat</v>
      </c>
    </row>
    <row r="7" spans="1:4" ht="14.4" thickBot="1" x14ac:dyDescent="0.3">
      <c r="A7" s="113"/>
      <c r="B7" s="250" t="s">
        <v>281</v>
      </c>
      <c r="C7" s="251" t="s">
        <v>282</v>
      </c>
    </row>
    <row r="8" spans="1:4" x14ac:dyDescent="0.25">
      <c r="A8" s="114" t="s">
        <v>16</v>
      </c>
      <c r="B8" s="437" t="s">
        <v>291</v>
      </c>
      <c r="C8" s="438"/>
    </row>
    <row r="9" spans="1:4" ht="24" x14ac:dyDescent="0.25">
      <c r="A9" s="115" t="s">
        <v>17</v>
      </c>
      <c r="B9" s="439" t="s">
        <v>172</v>
      </c>
      <c r="C9" s="440"/>
    </row>
    <row r="10" spans="1:4" x14ac:dyDescent="0.25">
      <c r="A10" s="115" t="s">
        <v>18</v>
      </c>
      <c r="B10" s="441" t="s">
        <v>292</v>
      </c>
      <c r="C10" s="440"/>
    </row>
    <row r="11" spans="1:4" ht="24" x14ac:dyDescent="0.25">
      <c r="A11" s="115" t="s">
        <v>19</v>
      </c>
      <c r="B11" s="441" t="s">
        <v>174</v>
      </c>
      <c r="C11" s="440"/>
    </row>
    <row r="12" spans="1:4" x14ac:dyDescent="0.25">
      <c r="A12" s="116" t="s">
        <v>20</v>
      </c>
      <c r="B12" s="441" t="s">
        <v>173</v>
      </c>
      <c r="C12" s="442"/>
    </row>
    <row r="13" spans="1:4" ht="14.4" thickBot="1" x14ac:dyDescent="0.3">
      <c r="A13" s="115" t="s">
        <v>21</v>
      </c>
      <c r="B13" s="443" t="s">
        <v>293</v>
      </c>
      <c r="C13" s="440"/>
    </row>
    <row r="14" spans="1:4" ht="14.4" thickBot="1" x14ac:dyDescent="0.3">
      <c r="A14" s="699" t="s">
        <v>135</v>
      </c>
      <c r="B14" s="700"/>
      <c r="C14" s="444">
        <f>SUM(C8:C13)</f>
        <v>0</v>
      </c>
    </row>
    <row r="15" spans="1:4" ht="23.25" customHeight="1" x14ac:dyDescent="0.25">
      <c r="A15" s="701" t="s">
        <v>156</v>
      </c>
      <c r="B15" s="701"/>
      <c r="C15" s="701"/>
    </row>
  </sheetData>
  <mergeCells count="4">
    <mergeCell ref="A4:C4"/>
    <mergeCell ref="A14:B14"/>
    <mergeCell ref="A15:C15"/>
    <mergeCell ref="B2:C2"/>
  </mergeCells>
  <phoneticPr fontId="28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5">
    <tabColor rgb="FF92D050"/>
  </sheetPr>
  <dimension ref="A2:D15"/>
  <sheetViews>
    <sheetView zoomScale="120" zoomScaleNormal="120" workbookViewId="0">
      <selection activeCell="B20" sqref="B20"/>
    </sheetView>
  </sheetViews>
  <sheetFormatPr defaultColWidth="9.33203125" defaultRowHeight="13.8" x14ac:dyDescent="0.25"/>
  <cols>
    <col min="1" max="1" width="5.6640625" style="92" customWidth="1"/>
    <col min="2" max="2" width="66.77734375" style="92" customWidth="1"/>
    <col min="3" max="3" width="27" style="92" customWidth="1"/>
    <col min="4" max="16384" width="9.33203125" style="92"/>
  </cols>
  <sheetData>
    <row r="2" spans="1:4" x14ac:dyDescent="0.25">
      <c r="B2" s="677" t="str">
        <f>CONCATENATE("5. melléklet ",ALAPADATOK!A7," ",ALAPADATOK!B7," ",ALAPADATOK!C7," ",ALAPADATOK!D7," ",ALAPADATOK!E7," ",ALAPADATOK!F7," ",ALAPADATOK!G7," ",ALAPADATOK!H7)</f>
        <v>5. melléklet a … / 2025. ( … ) önkormányzati rendelethez</v>
      </c>
      <c r="C2" s="677"/>
    </row>
    <row r="4" spans="1:4" ht="33.15" customHeight="1" x14ac:dyDescent="0.25">
      <c r="A4" s="698" t="str">
        <f>CONCATENATE(ALAPADATOK!A3," ",ALAPADATOK!D7," évi adósságot keletkeztető fejlesztési céljai")</f>
        <v>Alsónyék Község Önkormányzata 2025. évi adósságot keletkeztető fejlesztési céljai</v>
      </c>
      <c r="B4" s="698"/>
      <c r="C4" s="698"/>
    </row>
    <row r="5" spans="1:4" ht="15.9" customHeight="1" thickBot="1" x14ac:dyDescent="0.35">
      <c r="A5" s="93"/>
      <c r="B5" s="93"/>
      <c r="C5" s="425" t="str">
        <f>'KV_4.sz.mell.'!C5</f>
        <v>Forintban!</v>
      </c>
      <c r="D5" s="99"/>
    </row>
    <row r="6" spans="1:4" ht="26.4" customHeight="1" thickBot="1" x14ac:dyDescent="0.3">
      <c r="A6" s="110" t="s">
        <v>14</v>
      </c>
      <c r="B6" s="111" t="s">
        <v>136</v>
      </c>
      <c r="C6" s="112" t="s">
        <v>155</v>
      </c>
    </row>
    <row r="7" spans="1:4" ht="14.4" thickBot="1" x14ac:dyDescent="0.3">
      <c r="A7" s="113"/>
      <c r="B7" s="250" t="s">
        <v>281</v>
      </c>
      <c r="C7" s="251" t="s">
        <v>282</v>
      </c>
    </row>
    <row r="8" spans="1:4" x14ac:dyDescent="0.25">
      <c r="A8" s="114" t="s">
        <v>16</v>
      </c>
      <c r="B8" s="445"/>
      <c r="C8" s="446"/>
    </row>
    <row r="9" spans="1:4" x14ac:dyDescent="0.25">
      <c r="A9" s="115" t="s">
        <v>17</v>
      </c>
      <c r="B9" s="447"/>
      <c r="C9" s="448"/>
    </row>
    <row r="10" spans="1:4" ht="14.4" thickBot="1" x14ac:dyDescent="0.3">
      <c r="A10" s="116" t="s">
        <v>18</v>
      </c>
      <c r="B10" s="449"/>
      <c r="C10" s="450"/>
    </row>
    <row r="11" spans="1:4" s="232" customFormat="1" ht="17.25" customHeight="1" thickBot="1" x14ac:dyDescent="0.3">
      <c r="A11" s="233" t="s">
        <v>19</v>
      </c>
      <c r="B11" s="81" t="s">
        <v>422</v>
      </c>
      <c r="C11" s="444">
        <f>SUM(C8:C10)</f>
        <v>0</v>
      </c>
    </row>
    <row r="12" spans="1:4" ht="26.25" customHeight="1" x14ac:dyDescent="0.25">
      <c r="A12" s="702" t="s">
        <v>421</v>
      </c>
      <c r="B12" s="702"/>
      <c r="C12" s="702"/>
    </row>
    <row r="15" spans="1:4" ht="15.6" x14ac:dyDescent="0.3">
      <c r="B15" s="76"/>
    </row>
  </sheetData>
  <mergeCells count="3">
    <mergeCell ref="A4:C4"/>
    <mergeCell ref="B2:C2"/>
    <mergeCell ref="A12:C12"/>
  </mergeCells>
  <phoneticPr fontId="28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16">
    <tabColor rgb="FF92D050"/>
  </sheetPr>
  <dimension ref="A1:F24"/>
  <sheetViews>
    <sheetView tabSelected="1" zoomScale="120" zoomScaleNormal="120" workbookViewId="0">
      <selection activeCell="A8" sqref="A8"/>
    </sheetView>
  </sheetViews>
  <sheetFormatPr defaultColWidth="9.33203125" defaultRowHeight="13.2" x14ac:dyDescent="0.25"/>
  <cols>
    <col min="1" max="1" width="47.109375" style="19" customWidth="1"/>
    <col min="2" max="2" width="15.6640625" style="18" customWidth="1"/>
    <col min="3" max="3" width="16.33203125" style="18" customWidth="1"/>
    <col min="4" max="4" width="18" style="18" customWidth="1"/>
    <col min="5" max="5" width="16.6640625" style="18" customWidth="1"/>
    <col min="6" max="6" width="18.77734375" style="18" customWidth="1"/>
    <col min="7" max="8" width="12.77734375" style="18" customWidth="1"/>
    <col min="9" max="9" width="13.77734375" style="18" customWidth="1"/>
    <col min="10" max="16384" width="9.33203125" style="18"/>
  </cols>
  <sheetData>
    <row r="1" spans="1:6" x14ac:dyDescent="0.25">
      <c r="A1" s="306"/>
      <c r="B1" s="301"/>
      <c r="C1" s="301"/>
      <c r="D1" s="301"/>
      <c r="E1" s="301"/>
      <c r="F1" s="301"/>
    </row>
    <row r="2" spans="1:6" ht="18" customHeight="1" x14ac:dyDescent="0.25">
      <c r="A2" s="306"/>
      <c r="B2" s="704" t="str">
        <f>CONCATENATE("6. melléklet ",ALAPADATOK!A7," ",ALAPADATOK!B7," ",ALAPADATOK!C7," ",ALAPADATOK!D7," ",ALAPADATOK!E7," ",ALAPADATOK!F7," ",ALAPADATOK!G7," ",ALAPADATOK!H7)</f>
        <v>6. melléklet a … / 2025. ( … ) önkormányzati rendelethez</v>
      </c>
      <c r="C2" s="705"/>
      <c r="D2" s="705"/>
      <c r="E2" s="705"/>
      <c r="F2" s="705"/>
    </row>
    <row r="3" spans="1:6" x14ac:dyDescent="0.25">
      <c r="A3" s="306"/>
      <c r="B3" s="301"/>
      <c r="C3" s="301"/>
      <c r="D3" s="301"/>
      <c r="E3" s="301"/>
      <c r="F3" s="301"/>
    </row>
    <row r="4" spans="1:6" ht="20.25" customHeight="1" x14ac:dyDescent="0.25">
      <c r="A4" s="703" t="s">
        <v>0</v>
      </c>
      <c r="B4" s="703"/>
      <c r="C4" s="703"/>
      <c r="D4" s="703"/>
      <c r="E4" s="703"/>
      <c r="F4" s="703"/>
    </row>
    <row r="5" spans="1:6" ht="20.25" customHeight="1" thickBot="1" x14ac:dyDescent="0.3">
      <c r="A5" s="306"/>
      <c r="B5" s="301"/>
      <c r="C5" s="301"/>
      <c r="D5" s="301"/>
      <c r="E5" s="301"/>
      <c r="F5" s="451" t="str">
        <f>'KV_5.sz.mell.'!C5</f>
        <v>Forintban!</v>
      </c>
    </row>
    <row r="6" spans="1:6" s="21" customFormat="1" ht="44.4" customHeight="1" thickBot="1" x14ac:dyDescent="0.3">
      <c r="A6" s="307" t="s">
        <v>55</v>
      </c>
      <c r="B6" s="308" t="s">
        <v>56</v>
      </c>
      <c r="C6" s="308" t="s">
        <v>57</v>
      </c>
      <c r="D6" s="308" t="str">
        <f>+CONCATENATE("Felhasználás   ",LEFT(KV_ÖSSZEFÜGGÉSEK!A5,4)-1,". XII. 31-ig")</f>
        <v>Felhasználás   2024. XII. 31-ig</v>
      </c>
      <c r="E6" s="308" t="str">
        <f>+'KV_1.1.sz.mell.'!C8</f>
        <v>2025. évi előirányzat</v>
      </c>
      <c r="F6" s="309" t="str">
        <f>+CONCATENATE(LEFT(KV_ÖSSZEFÜGGÉSEK!A5,4),". utáni szükséglet")</f>
        <v>2025. utáni szükséglet</v>
      </c>
    </row>
    <row r="7" spans="1:6" ht="12" customHeight="1" thickBot="1" x14ac:dyDescent="0.3">
      <c r="A7" s="26" t="s">
        <v>281</v>
      </c>
      <c r="B7" s="27" t="s">
        <v>282</v>
      </c>
      <c r="C7" s="27" t="s">
        <v>283</v>
      </c>
      <c r="D7" s="27" t="s">
        <v>285</v>
      </c>
      <c r="E7" s="27" t="s">
        <v>284</v>
      </c>
      <c r="F7" s="252" t="s">
        <v>303</v>
      </c>
    </row>
    <row r="8" spans="1:6" ht="15.9" customHeight="1" x14ac:dyDescent="0.2">
      <c r="A8" s="524" t="s">
        <v>706</v>
      </c>
      <c r="B8" s="525">
        <v>262836543</v>
      </c>
      <c r="C8" s="526" t="s">
        <v>587</v>
      </c>
      <c r="D8" s="525">
        <v>139631612</v>
      </c>
      <c r="E8" s="525">
        <v>123204931</v>
      </c>
      <c r="F8" s="28">
        <f>B8-D8-E8</f>
        <v>0</v>
      </c>
    </row>
    <row r="9" spans="1:6" ht="15.9" customHeight="1" x14ac:dyDescent="0.25">
      <c r="A9" s="527" t="s">
        <v>588</v>
      </c>
      <c r="B9" s="525">
        <v>1000000</v>
      </c>
      <c r="C9" s="526" t="s">
        <v>589</v>
      </c>
      <c r="D9" s="525"/>
      <c r="E9" s="525">
        <v>1000000</v>
      </c>
      <c r="F9" s="28">
        <f t="shared" ref="F9:F23" si="0">B9-D9-E9</f>
        <v>0</v>
      </c>
    </row>
    <row r="10" spans="1:6" ht="15.9" customHeight="1" x14ac:dyDescent="0.25">
      <c r="A10" s="527" t="s">
        <v>590</v>
      </c>
      <c r="B10" s="525">
        <v>511000</v>
      </c>
      <c r="C10" s="526" t="s">
        <v>589</v>
      </c>
      <c r="D10" s="525"/>
      <c r="E10" s="525">
        <v>511000</v>
      </c>
      <c r="F10" s="28">
        <f t="shared" si="0"/>
        <v>0</v>
      </c>
    </row>
    <row r="11" spans="1:6" ht="15.9" customHeight="1" x14ac:dyDescent="0.25">
      <c r="A11" s="515"/>
      <c r="B11" s="6"/>
      <c r="C11" s="235"/>
      <c r="D11" s="6"/>
      <c r="E11" s="6"/>
      <c r="F11" s="28">
        <f t="shared" si="0"/>
        <v>0</v>
      </c>
    </row>
    <row r="12" spans="1:6" ht="15.9" customHeight="1" x14ac:dyDescent="0.25">
      <c r="A12" s="234"/>
      <c r="B12" s="6"/>
      <c r="C12" s="235"/>
      <c r="D12" s="6"/>
      <c r="E12" s="6"/>
      <c r="F12" s="28">
        <f t="shared" si="0"/>
        <v>0</v>
      </c>
    </row>
    <row r="13" spans="1:6" ht="15.9" customHeight="1" x14ac:dyDescent="0.25">
      <c r="A13" s="515"/>
      <c r="B13" s="6"/>
      <c r="C13" s="235"/>
      <c r="D13" s="6"/>
      <c r="E13" s="6"/>
      <c r="F13" s="28">
        <f t="shared" si="0"/>
        <v>0</v>
      </c>
    </row>
    <row r="14" spans="1:6" ht="15.9" customHeight="1" x14ac:dyDescent="0.25">
      <c r="A14" s="234"/>
      <c r="B14" s="6"/>
      <c r="C14" s="235"/>
      <c r="D14" s="6"/>
      <c r="E14" s="6"/>
      <c r="F14" s="28">
        <f t="shared" si="0"/>
        <v>0</v>
      </c>
    </row>
    <row r="15" spans="1:6" ht="15.9" customHeight="1" x14ac:dyDescent="0.25">
      <c r="A15" s="234"/>
      <c r="B15" s="6"/>
      <c r="C15" s="235"/>
      <c r="D15" s="6"/>
      <c r="E15" s="6"/>
      <c r="F15" s="28">
        <f t="shared" si="0"/>
        <v>0</v>
      </c>
    </row>
    <row r="16" spans="1:6" ht="15.9" customHeight="1" x14ac:dyDescent="0.25">
      <c r="A16" s="234"/>
      <c r="B16" s="6"/>
      <c r="C16" s="235"/>
      <c r="D16" s="6"/>
      <c r="E16" s="6"/>
      <c r="F16" s="28">
        <f t="shared" si="0"/>
        <v>0</v>
      </c>
    </row>
    <row r="17" spans="1:6" ht="15.9" customHeight="1" x14ac:dyDescent="0.25">
      <c r="A17" s="234"/>
      <c r="B17" s="6"/>
      <c r="C17" s="235"/>
      <c r="D17" s="6"/>
      <c r="E17" s="6"/>
      <c r="F17" s="28">
        <f t="shared" si="0"/>
        <v>0</v>
      </c>
    </row>
    <row r="18" spans="1:6" ht="15.9" customHeight="1" x14ac:dyDescent="0.25">
      <c r="A18" s="234"/>
      <c r="B18" s="6"/>
      <c r="C18" s="235"/>
      <c r="D18" s="6"/>
      <c r="E18" s="6"/>
      <c r="F18" s="28">
        <f t="shared" si="0"/>
        <v>0</v>
      </c>
    </row>
    <row r="19" spans="1:6" ht="15.9" customHeight="1" x14ac:dyDescent="0.25">
      <c r="A19" s="234"/>
      <c r="B19" s="6"/>
      <c r="C19" s="235"/>
      <c r="D19" s="6"/>
      <c r="E19" s="6"/>
      <c r="F19" s="28">
        <f t="shared" si="0"/>
        <v>0</v>
      </c>
    </row>
    <row r="20" spans="1:6" ht="15.9" customHeight="1" x14ac:dyDescent="0.25">
      <c r="A20" s="234"/>
      <c r="B20" s="6"/>
      <c r="C20" s="235"/>
      <c r="D20" s="6"/>
      <c r="E20" s="6"/>
      <c r="F20" s="28">
        <f t="shared" si="0"/>
        <v>0</v>
      </c>
    </row>
    <row r="21" spans="1:6" ht="15.9" customHeight="1" x14ac:dyDescent="0.25">
      <c r="A21" s="234"/>
      <c r="B21" s="6"/>
      <c r="C21" s="235"/>
      <c r="D21" s="6"/>
      <c r="E21" s="6"/>
      <c r="F21" s="28">
        <f t="shared" si="0"/>
        <v>0</v>
      </c>
    </row>
    <row r="22" spans="1:6" ht="15.9" customHeight="1" x14ac:dyDescent="0.25">
      <c r="A22" s="234"/>
      <c r="B22" s="6"/>
      <c r="C22" s="235"/>
      <c r="D22" s="6"/>
      <c r="E22" s="6"/>
      <c r="F22" s="28">
        <f t="shared" si="0"/>
        <v>0</v>
      </c>
    </row>
    <row r="23" spans="1:6" ht="15.9" customHeight="1" thickBot="1" x14ac:dyDescent="0.3">
      <c r="A23" s="452"/>
      <c r="B23" s="7"/>
      <c r="C23" s="236"/>
      <c r="D23" s="7"/>
      <c r="E23" s="7"/>
      <c r="F23" s="30">
        <f t="shared" si="0"/>
        <v>0</v>
      </c>
    </row>
    <row r="24" spans="1:6" s="33" customFormat="1" ht="18" customHeight="1" thickBot="1" x14ac:dyDescent="0.3">
      <c r="A24" s="121" t="s">
        <v>54</v>
      </c>
      <c r="B24" s="31">
        <f>SUM(B8:B23)</f>
        <v>264347543</v>
      </c>
      <c r="C24" s="72"/>
      <c r="D24" s="31">
        <f>SUM(D8:D23)</f>
        <v>139631612</v>
      </c>
      <c r="E24" s="31">
        <f>SUM(E8:E23)</f>
        <v>124715931</v>
      </c>
      <c r="F24" s="32">
        <f>SUM(F8:F23)</f>
        <v>0</v>
      </c>
    </row>
  </sheetData>
  <mergeCells count="2">
    <mergeCell ref="A4:F4"/>
    <mergeCell ref="B2:F2"/>
  </mergeCells>
  <phoneticPr fontId="0" type="noConversion"/>
  <printOptions horizontalCentered="1"/>
  <pageMargins left="0.78740157480314965" right="0.78740157480314965" top="1.0236220472440944" bottom="0.98425196850393704" header="0.78740157480314965" footer="0.78740157480314965"/>
  <pageSetup paperSize="9" scale="105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17">
    <tabColor rgb="FF92D050"/>
  </sheetPr>
  <dimension ref="A1:F25"/>
  <sheetViews>
    <sheetView zoomScaleNormal="100" workbookViewId="0">
      <selection activeCell="A5" sqref="A5:F25"/>
    </sheetView>
  </sheetViews>
  <sheetFormatPr defaultColWidth="9.33203125" defaultRowHeight="13.2" x14ac:dyDescent="0.25"/>
  <cols>
    <col min="1" max="1" width="60.6640625" style="19" customWidth="1"/>
    <col min="2" max="2" width="15.6640625" style="18" customWidth="1"/>
    <col min="3" max="3" width="16.33203125" style="18" customWidth="1"/>
    <col min="4" max="4" width="18" style="18" customWidth="1"/>
    <col min="5" max="5" width="16.6640625" style="18" customWidth="1"/>
    <col min="6" max="6" width="18.77734375" style="18" customWidth="1"/>
    <col min="7" max="8" width="12.77734375" style="18" customWidth="1"/>
    <col min="9" max="9" width="13.77734375" style="18" customWidth="1"/>
    <col min="10" max="16384" width="9.33203125" style="18"/>
  </cols>
  <sheetData>
    <row r="1" spans="1:6" x14ac:dyDescent="0.25">
      <c r="A1" s="306"/>
      <c r="B1" s="301"/>
      <c r="C1" s="301"/>
      <c r="D1" s="301"/>
      <c r="E1" s="301"/>
      <c r="F1" s="301"/>
    </row>
    <row r="2" spans="1:6" ht="21.15" customHeight="1" x14ac:dyDescent="0.25">
      <c r="A2" s="306"/>
      <c r="B2" s="704" t="str">
        <f>CONCATENATE("7. melléklet ",ALAPADATOK!A7," ",ALAPADATOK!B7," ",ALAPADATOK!C7," ",ALAPADATOK!D7," ",ALAPADATOK!E7," ",ALAPADATOK!F7," ",ALAPADATOK!G7," ",ALAPADATOK!H7)</f>
        <v>7. melléklet a … / 2025. ( … ) önkormányzati rendelethez</v>
      </c>
      <c r="C2" s="704"/>
      <c r="D2" s="704"/>
      <c r="E2" s="704"/>
      <c r="F2" s="704"/>
    </row>
    <row r="3" spans="1:6" x14ac:dyDescent="0.25">
      <c r="A3" s="306"/>
      <c r="B3" s="301"/>
      <c r="C3" s="301"/>
      <c r="D3" s="301"/>
      <c r="E3" s="301"/>
      <c r="F3" s="301"/>
    </row>
    <row r="4" spans="1:6" ht="24.75" customHeight="1" x14ac:dyDescent="0.25">
      <c r="A4" s="703" t="s">
        <v>1</v>
      </c>
      <c r="B4" s="703"/>
      <c r="C4" s="703"/>
      <c r="D4" s="703"/>
      <c r="E4" s="703"/>
      <c r="F4" s="703"/>
    </row>
    <row r="5" spans="1:6" ht="23.25" customHeight="1" thickBot="1" x14ac:dyDescent="0.3">
      <c r="A5" s="306"/>
      <c r="B5" s="301"/>
      <c r="C5" s="301"/>
      <c r="D5" s="301"/>
      <c r="E5" s="301"/>
      <c r="F5" s="451" t="str">
        <f>'KV_6.sz.mell.'!F5</f>
        <v>Forintban!</v>
      </c>
    </row>
    <row r="6" spans="1:6" s="21" customFormat="1" ht="48.75" customHeight="1" thickBot="1" x14ac:dyDescent="0.3">
      <c r="A6" s="307" t="s">
        <v>58</v>
      </c>
      <c r="B6" s="308" t="s">
        <v>56</v>
      </c>
      <c r="C6" s="308" t="s">
        <v>57</v>
      </c>
      <c r="D6" s="308" t="str">
        <f>+'KV_6.sz.mell.'!D6</f>
        <v>Felhasználás   2024. XII. 31-ig</v>
      </c>
      <c r="E6" s="308" t="str">
        <f>+'KV_6.sz.mell.'!E6</f>
        <v>2025. évi előirányzat</v>
      </c>
      <c r="F6" s="309" t="str">
        <f>+CONCATENATE(LEFT(KV_ÖSSZEFÜGGÉSEK!A5,4),". utáni szükséglet ",CHAR(10),"")</f>
        <v xml:space="preserve">2025. utáni szükséglet 
</v>
      </c>
    </row>
    <row r="7" spans="1:6" ht="15.15" customHeight="1" thickBot="1" x14ac:dyDescent="0.3">
      <c r="A7" s="26" t="s">
        <v>281</v>
      </c>
      <c r="B7" s="27" t="s">
        <v>282</v>
      </c>
      <c r="C7" s="27" t="s">
        <v>283</v>
      </c>
      <c r="D7" s="27" t="s">
        <v>285</v>
      </c>
      <c r="E7" s="27" t="s">
        <v>284</v>
      </c>
      <c r="F7" s="253" t="s">
        <v>303</v>
      </c>
    </row>
    <row r="8" spans="1:6" ht="15.9" customHeight="1" x14ac:dyDescent="0.25">
      <c r="A8" s="453"/>
      <c r="B8" s="34"/>
      <c r="C8" s="237"/>
      <c r="D8" s="34"/>
      <c r="E8" s="34"/>
      <c r="F8" s="35">
        <f>B8-D8-E8</f>
        <v>0</v>
      </c>
    </row>
    <row r="9" spans="1:6" ht="15.9" customHeight="1" x14ac:dyDescent="0.25">
      <c r="A9" s="453"/>
      <c r="B9" s="34"/>
      <c r="C9" s="237"/>
      <c r="D9" s="34"/>
      <c r="E9" s="34"/>
      <c r="F9" s="35">
        <f t="shared" ref="F9:F24" si="0">B9-D9-E9</f>
        <v>0</v>
      </c>
    </row>
    <row r="10" spans="1:6" ht="15.9" customHeight="1" x14ac:dyDescent="0.25">
      <c r="A10" s="453"/>
      <c r="B10" s="34"/>
      <c r="C10" s="237"/>
      <c r="D10" s="34"/>
      <c r="E10" s="34"/>
      <c r="F10" s="35">
        <f t="shared" si="0"/>
        <v>0</v>
      </c>
    </row>
    <row r="11" spans="1:6" ht="15.9" customHeight="1" x14ac:dyDescent="0.25">
      <c r="A11" s="453"/>
      <c r="B11" s="34"/>
      <c r="C11" s="237"/>
      <c r="D11" s="34"/>
      <c r="E11" s="34"/>
      <c r="F11" s="35">
        <f t="shared" si="0"/>
        <v>0</v>
      </c>
    </row>
    <row r="12" spans="1:6" ht="15.9" customHeight="1" x14ac:dyDescent="0.25">
      <c r="A12" s="453"/>
      <c r="B12" s="34"/>
      <c r="C12" s="237"/>
      <c r="D12" s="34"/>
      <c r="E12" s="34"/>
      <c r="F12" s="35">
        <f t="shared" si="0"/>
        <v>0</v>
      </c>
    </row>
    <row r="13" spans="1:6" ht="15.9" customHeight="1" x14ac:dyDescent="0.25">
      <c r="A13" s="453"/>
      <c r="B13" s="34"/>
      <c r="C13" s="237"/>
      <c r="D13" s="34"/>
      <c r="E13" s="34"/>
      <c r="F13" s="35">
        <f t="shared" si="0"/>
        <v>0</v>
      </c>
    </row>
    <row r="14" spans="1:6" ht="15.9" customHeight="1" x14ac:dyDescent="0.25">
      <c r="A14" s="453"/>
      <c r="B14" s="34"/>
      <c r="C14" s="237"/>
      <c r="D14" s="34"/>
      <c r="E14" s="34"/>
      <c r="F14" s="35">
        <f t="shared" si="0"/>
        <v>0</v>
      </c>
    </row>
    <row r="15" spans="1:6" ht="15.9" customHeight="1" x14ac:dyDescent="0.25">
      <c r="A15" s="453"/>
      <c r="B15" s="34"/>
      <c r="C15" s="237"/>
      <c r="D15" s="34"/>
      <c r="E15" s="34"/>
      <c r="F15" s="35">
        <f t="shared" si="0"/>
        <v>0</v>
      </c>
    </row>
    <row r="16" spans="1:6" ht="15.9" customHeight="1" x14ac:dyDescent="0.25">
      <c r="A16" s="453"/>
      <c r="B16" s="34"/>
      <c r="C16" s="237"/>
      <c r="D16" s="34"/>
      <c r="E16" s="34"/>
      <c r="F16" s="35">
        <f t="shared" si="0"/>
        <v>0</v>
      </c>
    </row>
    <row r="17" spans="1:6" ht="15.9" customHeight="1" x14ac:dyDescent="0.25">
      <c r="A17" s="453"/>
      <c r="B17" s="34"/>
      <c r="C17" s="237"/>
      <c r="D17" s="34"/>
      <c r="E17" s="34"/>
      <c r="F17" s="35">
        <f t="shared" si="0"/>
        <v>0</v>
      </c>
    </row>
    <row r="18" spans="1:6" ht="15.9" customHeight="1" x14ac:dyDescent="0.25">
      <c r="A18" s="453"/>
      <c r="B18" s="34"/>
      <c r="C18" s="237"/>
      <c r="D18" s="34"/>
      <c r="E18" s="34"/>
      <c r="F18" s="35">
        <f t="shared" si="0"/>
        <v>0</v>
      </c>
    </row>
    <row r="19" spans="1:6" ht="15.9" customHeight="1" x14ac:dyDescent="0.25">
      <c r="A19" s="453"/>
      <c r="B19" s="34"/>
      <c r="C19" s="237"/>
      <c r="D19" s="34"/>
      <c r="E19" s="34"/>
      <c r="F19" s="35">
        <f t="shared" si="0"/>
        <v>0</v>
      </c>
    </row>
    <row r="20" spans="1:6" ht="15.9" customHeight="1" x14ac:dyDescent="0.25">
      <c r="A20" s="453"/>
      <c r="B20" s="34"/>
      <c r="C20" s="237"/>
      <c r="D20" s="34"/>
      <c r="E20" s="34"/>
      <c r="F20" s="35">
        <f t="shared" si="0"/>
        <v>0</v>
      </c>
    </row>
    <row r="21" spans="1:6" ht="15.9" customHeight="1" x14ac:dyDescent="0.25">
      <c r="A21" s="453"/>
      <c r="B21" s="34"/>
      <c r="C21" s="237"/>
      <c r="D21" s="34"/>
      <c r="E21" s="34"/>
      <c r="F21" s="35">
        <f t="shared" si="0"/>
        <v>0</v>
      </c>
    </row>
    <row r="22" spans="1:6" ht="15.9" customHeight="1" x14ac:dyDescent="0.25">
      <c r="A22" s="453"/>
      <c r="B22" s="34"/>
      <c r="C22" s="237"/>
      <c r="D22" s="34"/>
      <c r="E22" s="34"/>
      <c r="F22" s="35">
        <f t="shared" si="0"/>
        <v>0</v>
      </c>
    </row>
    <row r="23" spans="1:6" ht="15.9" customHeight="1" x14ac:dyDescent="0.25">
      <c r="A23" s="453"/>
      <c r="B23" s="34"/>
      <c r="C23" s="237"/>
      <c r="D23" s="34"/>
      <c r="E23" s="34"/>
      <c r="F23" s="35">
        <f t="shared" si="0"/>
        <v>0</v>
      </c>
    </row>
    <row r="24" spans="1:6" ht="15.9" customHeight="1" thickBot="1" x14ac:dyDescent="0.3">
      <c r="A24" s="454"/>
      <c r="B24" s="36"/>
      <c r="C24" s="238"/>
      <c r="D24" s="36"/>
      <c r="E24" s="36"/>
      <c r="F24" s="37">
        <f t="shared" si="0"/>
        <v>0</v>
      </c>
    </row>
    <row r="25" spans="1:6" s="33" customFormat="1" ht="18" customHeight="1" thickBot="1" x14ac:dyDescent="0.3">
      <c r="A25" s="121" t="s">
        <v>54</v>
      </c>
      <c r="B25" s="122">
        <f>SUM(B8:B24)</f>
        <v>0</v>
      </c>
      <c r="C25" s="73"/>
      <c r="D25" s="122">
        <f>SUM(D8:D24)</f>
        <v>0</v>
      </c>
      <c r="E25" s="122">
        <f>SUM(E8:E24)</f>
        <v>0</v>
      </c>
      <c r="F25" s="38">
        <f>SUM(F8:F24)</f>
        <v>0</v>
      </c>
    </row>
  </sheetData>
  <mergeCells count="2">
    <mergeCell ref="A4:F4"/>
    <mergeCell ref="B2:F2"/>
  </mergeCells>
  <phoneticPr fontId="0" type="noConversion"/>
  <printOptions horizontalCentered="1"/>
  <pageMargins left="0.78740157480314965" right="0.78740157480314965" top="1.2204724409448819" bottom="0.98425196850393704" header="0.78740157480314965" footer="0.78740157480314965"/>
  <pageSetup paperSize="9" scale="95" orientation="landscape" horizontalDpi="300" verticalDpi="300" r:id="rId1"/>
  <headerFooter>
    <oddHeader xml:space="preserve">&amp;R&amp;"Times New Roman CE,Félkövér dőlt"&amp;12 &amp;"Times New Roman CE,Normál"&amp;10
   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18">
    <tabColor rgb="FF92D050"/>
  </sheetPr>
  <dimension ref="A1:F32"/>
  <sheetViews>
    <sheetView zoomScale="120" zoomScaleNormal="120" workbookViewId="0">
      <selection activeCell="A3" sqref="A3:E30"/>
    </sheetView>
  </sheetViews>
  <sheetFormatPr defaultRowHeight="13.2" x14ac:dyDescent="0.25"/>
  <cols>
    <col min="1" max="1" width="38.6640625" customWidth="1"/>
    <col min="2" max="4" width="24.77734375" customWidth="1"/>
    <col min="5" max="5" width="26.77734375" customWidth="1"/>
    <col min="6" max="6" width="5" bestFit="1" customWidth="1"/>
  </cols>
  <sheetData>
    <row r="1" spans="1:6" x14ac:dyDescent="0.25">
      <c r="F1" s="706" t="str">
        <f>CONCATENATE("8. melléklet ",ALAPADATOK!A7," ",ALAPADATOK!B7," ",ALAPADATOK!C7," ",ALAPADATOK!D7," ",ALAPADATOK!E7," ",ALAPADATOK!F7," ",ALAPADATOK!G7," ",ALAPADATOK!H7)</f>
        <v>8. melléklet a … / 2025. ( … ) önkormányzati rendelethez</v>
      </c>
    </row>
    <row r="2" spans="1:6" ht="15.6" x14ac:dyDescent="0.25">
      <c r="A2" s="707" t="s">
        <v>415</v>
      </c>
      <c r="B2" s="707"/>
      <c r="C2" s="707"/>
      <c r="D2" s="707"/>
      <c r="E2" s="707"/>
      <c r="F2" s="706"/>
    </row>
    <row r="3" spans="1:6" ht="14.4" thickBot="1" x14ac:dyDescent="0.3">
      <c r="A3" s="345"/>
      <c r="B3" s="345"/>
      <c r="C3" s="345"/>
      <c r="D3" s="345"/>
      <c r="E3" s="348" t="str">
        <f>'KV_7.sz.mell.'!F5</f>
        <v>Forintban!</v>
      </c>
      <c r="F3" s="706"/>
    </row>
    <row r="4" spans="1:6" ht="13.8" thickBot="1" x14ac:dyDescent="0.3">
      <c r="A4" s="708" t="s">
        <v>94</v>
      </c>
      <c r="B4" s="709"/>
      <c r="C4" s="709"/>
      <c r="D4" s="709"/>
      <c r="E4" s="350" t="s">
        <v>49</v>
      </c>
      <c r="F4" s="706"/>
    </row>
    <row r="5" spans="1:6" x14ac:dyDescent="0.25">
      <c r="A5" s="710"/>
      <c r="B5" s="711"/>
      <c r="C5" s="711"/>
      <c r="D5" s="711"/>
      <c r="E5" s="351"/>
      <c r="F5" s="706"/>
    </row>
    <row r="6" spans="1:6" ht="13.8" thickBot="1" x14ac:dyDescent="0.3">
      <c r="A6" s="712"/>
      <c r="B6" s="713"/>
      <c r="C6" s="713"/>
      <c r="D6" s="713"/>
      <c r="E6" s="352"/>
      <c r="F6" s="706"/>
    </row>
    <row r="7" spans="1:6" ht="13.5" customHeight="1" thickBot="1" x14ac:dyDescent="0.3">
      <c r="A7" s="714" t="s">
        <v>410</v>
      </c>
      <c r="B7" s="715"/>
      <c r="C7" s="715"/>
      <c r="D7" s="715"/>
      <c r="E7" s="353">
        <f>SUM(E5:E6)</f>
        <v>0</v>
      </c>
      <c r="F7" s="706"/>
    </row>
    <row r="8" spans="1:6" ht="13.5" customHeight="1" x14ac:dyDescent="0.25">
      <c r="A8" s="354"/>
      <c r="B8" s="354"/>
      <c r="C8" s="354"/>
      <c r="D8" s="354"/>
      <c r="E8" s="355"/>
      <c r="F8" s="706"/>
    </row>
    <row r="9" spans="1:6" ht="15.6" x14ac:dyDescent="0.25">
      <c r="A9" s="716" t="s">
        <v>406</v>
      </c>
      <c r="B9" s="716"/>
      <c r="C9" s="716"/>
      <c r="D9" s="716"/>
      <c r="E9" s="716"/>
      <c r="F9" s="706"/>
    </row>
    <row r="10" spans="1:6" ht="15.6" x14ac:dyDescent="0.25">
      <c r="A10" s="717" t="s">
        <v>560</v>
      </c>
      <c r="B10" s="716"/>
      <c r="C10" s="716"/>
      <c r="D10" s="716"/>
      <c r="E10" s="716"/>
      <c r="F10" s="706"/>
    </row>
    <row r="11" spans="1:6" ht="14.25" customHeight="1" x14ac:dyDescent="0.25">
      <c r="A11" s="718" t="s">
        <v>648</v>
      </c>
      <c r="B11" s="718"/>
      <c r="C11" s="719"/>
      <c r="D11" s="719"/>
      <c r="E11" s="719"/>
      <c r="F11" s="706"/>
    </row>
    <row r="12" spans="1:6" ht="14.4" thickBot="1" x14ac:dyDescent="0.3">
      <c r="A12" s="346"/>
      <c r="B12" s="346"/>
      <c r="C12" s="346"/>
      <c r="D12" s="346"/>
      <c r="E12" s="349" t="str">
        <f>$E$3</f>
        <v>Forintban!</v>
      </c>
      <c r="F12" s="706"/>
    </row>
    <row r="13" spans="1:6" ht="13.5" customHeight="1" thickBot="1" x14ac:dyDescent="0.3">
      <c r="A13" s="721" t="s">
        <v>88</v>
      </c>
      <c r="B13" s="724" t="s">
        <v>409</v>
      </c>
      <c r="C13" s="725"/>
      <c r="D13" s="725"/>
      <c r="E13" s="726"/>
      <c r="F13" s="706"/>
    </row>
    <row r="14" spans="1:6" ht="13.5" customHeight="1" thickBot="1" x14ac:dyDescent="0.3">
      <c r="A14" s="722"/>
      <c r="B14" s="727" t="s">
        <v>578</v>
      </c>
      <c r="C14" s="730" t="s">
        <v>416</v>
      </c>
      <c r="D14" s="731"/>
      <c r="E14" s="732"/>
      <c r="F14" s="706"/>
    </row>
    <row r="15" spans="1:6" ht="12.75" customHeight="1" x14ac:dyDescent="0.25">
      <c r="A15" s="722"/>
      <c r="B15" s="728"/>
      <c r="C15" s="727" t="str">
        <f>CONCATENATE(TARTALOMJEGYZÉK!A1,".  előttre ütemezett bevétel, kiadás")</f>
        <v>2025.  előttre ütemezett bevétel, kiadás</v>
      </c>
      <c r="D15" s="727" t="str">
        <f>CONCATENATE(TARTALOMJEGYZÉK!A1,". évre ütemezett bevétel, kiadás")</f>
        <v>2025. évre ütemezett bevétel, kiadás</v>
      </c>
      <c r="E15" s="727" t="str">
        <f>CONCATENATE(TARTALOMJEGYZÉK!A1,". utánra ütemezett bevétel, kiadás")</f>
        <v>2025. utánra ütemezett bevétel, kiadás</v>
      </c>
      <c r="F15" s="706"/>
    </row>
    <row r="16" spans="1:6" ht="13.8" thickBot="1" x14ac:dyDescent="0.3">
      <c r="A16" s="723"/>
      <c r="B16" s="729"/>
      <c r="C16" s="733"/>
      <c r="D16" s="733"/>
      <c r="E16" s="729"/>
      <c r="F16" s="706"/>
    </row>
    <row r="17" spans="1:6" ht="13.8" thickBot="1" x14ac:dyDescent="0.3">
      <c r="A17" s="356" t="s">
        <v>281</v>
      </c>
      <c r="B17" s="357" t="s">
        <v>417</v>
      </c>
      <c r="C17" s="358" t="s">
        <v>283</v>
      </c>
      <c r="D17" s="347" t="s">
        <v>285</v>
      </c>
      <c r="E17" s="359" t="s">
        <v>284</v>
      </c>
      <c r="F17" s="706"/>
    </row>
    <row r="18" spans="1:6" x14ac:dyDescent="0.25">
      <c r="A18" s="360" t="s">
        <v>89</v>
      </c>
      <c r="B18" s="455">
        <v>41865454</v>
      </c>
      <c r="C18" s="456">
        <v>25351366</v>
      </c>
      <c r="D18" s="456">
        <v>16514088</v>
      </c>
      <c r="E18" s="457"/>
      <c r="F18" s="706"/>
    </row>
    <row r="19" spans="1:6" x14ac:dyDescent="0.25">
      <c r="A19" s="361" t="s">
        <v>100</v>
      </c>
      <c r="B19" s="458">
        <f t="shared" ref="B19:B29" si="0">C19+D19+E19</f>
        <v>0</v>
      </c>
      <c r="C19" s="459"/>
      <c r="D19" s="459"/>
      <c r="E19" s="459"/>
      <c r="F19" s="706"/>
    </row>
    <row r="20" spans="1:6" x14ac:dyDescent="0.25">
      <c r="A20" s="362" t="s">
        <v>90</v>
      </c>
      <c r="B20" s="460">
        <v>255936904</v>
      </c>
      <c r="C20" s="461">
        <v>149999991</v>
      </c>
      <c r="D20" s="461">
        <v>105936913</v>
      </c>
      <c r="E20" s="461"/>
      <c r="F20" s="706"/>
    </row>
    <row r="21" spans="1:6" x14ac:dyDescent="0.25">
      <c r="A21" s="362" t="s">
        <v>102</v>
      </c>
      <c r="B21" s="460">
        <f t="shared" si="0"/>
        <v>0</v>
      </c>
      <c r="C21" s="461"/>
      <c r="D21" s="461"/>
      <c r="E21" s="461"/>
      <c r="F21" s="706"/>
    </row>
    <row r="22" spans="1:6" x14ac:dyDescent="0.25">
      <c r="A22" s="362" t="s">
        <v>91</v>
      </c>
      <c r="B22" s="460">
        <f t="shared" si="0"/>
        <v>0</v>
      </c>
      <c r="C22" s="461"/>
      <c r="D22" s="461"/>
      <c r="E22" s="461"/>
      <c r="F22" s="706"/>
    </row>
    <row r="23" spans="1:6" ht="13.8" thickBot="1" x14ac:dyDescent="0.3">
      <c r="A23" s="362" t="s">
        <v>92</v>
      </c>
      <c r="B23" s="460">
        <f t="shared" si="0"/>
        <v>0</v>
      </c>
      <c r="C23" s="461"/>
      <c r="D23" s="461"/>
      <c r="E23" s="461"/>
      <c r="F23" s="706"/>
    </row>
    <row r="24" spans="1:6" ht="13.8" thickBot="1" x14ac:dyDescent="0.3">
      <c r="A24" s="363" t="s">
        <v>93</v>
      </c>
      <c r="B24" s="462">
        <f>B18+SUM(B20:B23)</f>
        <v>297802358</v>
      </c>
      <c r="C24" s="462">
        <f>C18+SUM(C20:C23)</f>
        <v>175351357</v>
      </c>
      <c r="D24" s="462">
        <f>D18+SUM(D20:D23)</f>
        <v>122451001</v>
      </c>
      <c r="E24" s="463">
        <f>E18+SUM(E20:E23)</f>
        <v>0</v>
      </c>
      <c r="F24" s="706"/>
    </row>
    <row r="25" spans="1:6" x14ac:dyDescent="0.25">
      <c r="A25" s="364" t="s">
        <v>96</v>
      </c>
      <c r="B25" s="455">
        <f>C25+D25+E25</f>
        <v>0</v>
      </c>
      <c r="C25" s="456"/>
      <c r="D25" s="456"/>
      <c r="E25" s="457"/>
      <c r="F25" s="706"/>
    </row>
    <row r="26" spans="1:6" x14ac:dyDescent="0.25">
      <c r="A26" s="365" t="s">
        <v>97</v>
      </c>
      <c r="B26" s="460">
        <v>235287552</v>
      </c>
      <c r="C26" s="461">
        <v>113076383</v>
      </c>
      <c r="D26" s="461">
        <v>123204931</v>
      </c>
      <c r="E26" s="461"/>
      <c r="F26" s="706"/>
    </row>
    <row r="27" spans="1:6" x14ac:dyDescent="0.25">
      <c r="A27" s="365" t="s">
        <v>98</v>
      </c>
      <c r="B27" s="460">
        <v>11008735</v>
      </c>
      <c r="C27" s="461">
        <v>11008735</v>
      </c>
      <c r="D27" s="461"/>
      <c r="E27" s="461"/>
      <c r="F27" s="706"/>
    </row>
    <row r="28" spans="1:6" x14ac:dyDescent="0.25">
      <c r="A28" s="365" t="s">
        <v>99</v>
      </c>
      <c r="B28" s="460">
        <v>51506071</v>
      </c>
      <c r="C28" s="461">
        <v>51506071</v>
      </c>
      <c r="D28" s="461"/>
      <c r="E28" s="461"/>
      <c r="F28" s="706"/>
    </row>
    <row r="29" spans="1:6" ht="13.8" thickBot="1" x14ac:dyDescent="0.3">
      <c r="A29" s="366"/>
      <c r="B29" s="464">
        <f t="shared" si="0"/>
        <v>0</v>
      </c>
      <c r="C29" s="465"/>
      <c r="D29" s="465"/>
      <c r="E29" s="466"/>
      <c r="F29" s="706"/>
    </row>
    <row r="30" spans="1:6" ht="13.8" thickBot="1" x14ac:dyDescent="0.3">
      <c r="A30" s="367" t="s">
        <v>79</v>
      </c>
      <c r="B30" s="462">
        <f>SUM(B25:B29)</f>
        <v>297802358</v>
      </c>
      <c r="C30" s="462">
        <f>SUM(C25:C29)</f>
        <v>175591189</v>
      </c>
      <c r="D30" s="462">
        <f>SUM(D25:D29)</f>
        <v>123204931</v>
      </c>
      <c r="E30" s="463">
        <f>SUM(E25:E29)</f>
        <v>0</v>
      </c>
      <c r="F30" s="706"/>
    </row>
    <row r="31" spans="1:6" ht="12.75" customHeight="1" x14ac:dyDescent="0.25">
      <c r="A31" s="720" t="s">
        <v>418</v>
      </c>
      <c r="B31" s="720"/>
      <c r="C31" s="720"/>
      <c r="D31" s="720"/>
      <c r="E31" s="720"/>
      <c r="F31" s="706"/>
    </row>
    <row r="32" spans="1:6" x14ac:dyDescent="0.25">
      <c r="A32" s="368"/>
      <c r="B32" s="368"/>
      <c r="C32" s="368"/>
      <c r="D32" s="368"/>
      <c r="E32" s="368"/>
      <c r="F32" s="369"/>
    </row>
  </sheetData>
  <mergeCells count="18">
    <mergeCell ref="D15:D16"/>
    <mergeCell ref="E15:E16"/>
    <mergeCell ref="F1:F31"/>
    <mergeCell ref="A2:E2"/>
    <mergeCell ref="A4:D4"/>
    <mergeCell ref="A5:D5"/>
    <mergeCell ref="A6:D6"/>
    <mergeCell ref="A7:D7"/>
    <mergeCell ref="A9:E9"/>
    <mergeCell ref="A10:E10"/>
    <mergeCell ref="A11:B11"/>
    <mergeCell ref="C11:E11"/>
    <mergeCell ref="A31:E31"/>
    <mergeCell ref="A13:A16"/>
    <mergeCell ref="B13:E13"/>
    <mergeCell ref="B14:B16"/>
    <mergeCell ref="C14:E14"/>
    <mergeCell ref="C15:C16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67">
    <tabColor rgb="FF92D050"/>
  </sheetPr>
  <dimension ref="A2:G29"/>
  <sheetViews>
    <sheetView topLeftCell="A12" zoomScale="120" zoomScaleNormal="120" workbookViewId="0">
      <selection activeCell="A6" sqref="A6:G27"/>
    </sheetView>
  </sheetViews>
  <sheetFormatPr defaultColWidth="9.33203125" defaultRowHeight="13.2" x14ac:dyDescent="0.25"/>
  <cols>
    <col min="1" max="1" width="5.44140625" customWidth="1"/>
    <col min="2" max="2" width="33.109375" customWidth="1"/>
    <col min="3" max="3" width="12.33203125" customWidth="1"/>
    <col min="4" max="4" width="11.44140625" customWidth="1"/>
    <col min="5" max="5" width="11.33203125" customWidth="1"/>
    <col min="6" max="6" width="11" customWidth="1"/>
    <col min="7" max="7" width="14.33203125" customWidth="1"/>
  </cols>
  <sheetData>
    <row r="2" spans="1:7" ht="13.8" x14ac:dyDescent="0.25">
      <c r="B2" s="678" t="s">
        <v>696</v>
      </c>
      <c r="C2" s="678"/>
      <c r="D2" s="678"/>
      <c r="E2" s="678"/>
      <c r="F2" s="678"/>
      <c r="G2" s="678"/>
    </row>
    <row r="4" spans="1:7" ht="43.5" customHeight="1" x14ac:dyDescent="0.3">
      <c r="A4" s="735" t="s">
        <v>2</v>
      </c>
      <c r="B4" s="735"/>
      <c r="C4" s="735"/>
      <c r="D4" s="735"/>
      <c r="E4" s="735"/>
      <c r="F4" s="735"/>
      <c r="G4" s="735"/>
    </row>
    <row r="6" spans="1:7" s="102" customFormat="1" ht="27.15" customHeight="1" x14ac:dyDescent="0.35">
      <c r="A6" s="337" t="s">
        <v>141</v>
      </c>
      <c r="C6" s="734" t="s">
        <v>591</v>
      </c>
      <c r="D6" s="734"/>
      <c r="E6" s="734"/>
      <c r="F6" s="734"/>
      <c r="G6" s="734"/>
    </row>
    <row r="7" spans="1:7" s="102" customFormat="1" ht="15.6" x14ac:dyDescent="0.3"/>
    <row r="8" spans="1:7" s="102" customFormat="1" ht="24.75" customHeight="1" x14ac:dyDescent="0.35">
      <c r="A8" s="337" t="s">
        <v>142</v>
      </c>
      <c r="C8" s="734" t="s">
        <v>652</v>
      </c>
      <c r="D8" s="734"/>
      <c r="E8" s="734"/>
      <c r="F8" s="734"/>
    </row>
    <row r="9" spans="1:7" s="103" customFormat="1" x14ac:dyDescent="0.25"/>
    <row r="10" spans="1:7" s="104" customFormat="1" ht="15.15" customHeight="1" x14ac:dyDescent="0.25">
      <c r="A10" s="152" t="s">
        <v>653</v>
      </c>
      <c r="B10" s="151"/>
      <c r="C10" s="151"/>
      <c r="D10" s="151"/>
      <c r="E10" s="151"/>
      <c r="F10" s="151"/>
      <c r="G10" s="151"/>
    </row>
    <row r="11" spans="1:7" s="104" customFormat="1" ht="15.15" customHeight="1" thickBot="1" x14ac:dyDescent="0.35">
      <c r="A11" s="152" t="s">
        <v>654</v>
      </c>
      <c r="B11" s="151"/>
      <c r="C11" s="151"/>
      <c r="D11" s="151"/>
      <c r="E11" s="151"/>
      <c r="F11" s="151"/>
      <c r="G11" s="338" t="s">
        <v>649</v>
      </c>
    </row>
    <row r="12" spans="1:7" s="43" customFormat="1" ht="42" customHeight="1" thickBot="1" x14ac:dyDescent="0.3">
      <c r="A12" s="42" t="s">
        <v>14</v>
      </c>
      <c r="B12" s="123" t="s">
        <v>143</v>
      </c>
      <c r="C12" s="123" t="s">
        <v>144</v>
      </c>
      <c r="D12" s="123" t="s">
        <v>145</v>
      </c>
      <c r="E12" s="123" t="s">
        <v>146</v>
      </c>
      <c r="F12" s="123" t="s">
        <v>147</v>
      </c>
      <c r="G12" s="124" t="s">
        <v>48</v>
      </c>
    </row>
    <row r="13" spans="1:7" ht="24" customHeight="1" x14ac:dyDescent="0.25">
      <c r="A13" s="138" t="s">
        <v>16</v>
      </c>
      <c r="B13" s="130" t="s">
        <v>148</v>
      </c>
      <c r="C13" s="105">
        <v>795305</v>
      </c>
      <c r="D13" s="105"/>
      <c r="E13" s="105"/>
      <c r="F13" s="105"/>
      <c r="G13" s="139">
        <f>SUM(C13:F13)</f>
        <v>795305</v>
      </c>
    </row>
    <row r="14" spans="1:7" ht="24" customHeight="1" x14ac:dyDescent="0.25">
      <c r="A14" s="140" t="s">
        <v>17</v>
      </c>
      <c r="B14" s="131" t="s">
        <v>149</v>
      </c>
      <c r="C14" s="106"/>
      <c r="D14" s="106"/>
      <c r="E14" s="106"/>
      <c r="F14" s="106"/>
      <c r="G14" s="141">
        <f t="shared" ref="G14:G19" si="0">SUM(C14:F14)</f>
        <v>0</v>
      </c>
    </row>
    <row r="15" spans="1:7" ht="24" customHeight="1" x14ac:dyDescent="0.25">
      <c r="A15" s="140" t="s">
        <v>18</v>
      </c>
      <c r="B15" s="131" t="s">
        <v>150</v>
      </c>
      <c r="C15" s="106"/>
      <c r="D15" s="106"/>
      <c r="E15" s="106"/>
      <c r="F15" s="106"/>
      <c r="G15" s="141">
        <f t="shared" si="0"/>
        <v>0</v>
      </c>
    </row>
    <row r="16" spans="1:7" ht="24" customHeight="1" x14ac:dyDescent="0.25">
      <c r="A16" s="140" t="s">
        <v>19</v>
      </c>
      <c r="B16" s="131" t="s">
        <v>151</v>
      </c>
      <c r="C16" s="106"/>
      <c r="D16" s="106"/>
      <c r="E16" s="106"/>
      <c r="F16" s="106"/>
      <c r="G16" s="141">
        <f t="shared" si="0"/>
        <v>0</v>
      </c>
    </row>
    <row r="17" spans="1:7" ht="24" customHeight="1" x14ac:dyDescent="0.25">
      <c r="A17" s="140" t="s">
        <v>20</v>
      </c>
      <c r="B17" s="131" t="s">
        <v>152</v>
      </c>
      <c r="C17" s="106"/>
      <c r="D17" s="106"/>
      <c r="E17" s="106"/>
      <c r="F17" s="106"/>
      <c r="G17" s="141">
        <f t="shared" si="0"/>
        <v>0</v>
      </c>
    </row>
    <row r="18" spans="1:7" ht="24" customHeight="1" thickBot="1" x14ac:dyDescent="0.3">
      <c r="A18" s="142" t="s">
        <v>21</v>
      </c>
      <c r="B18" s="143" t="s">
        <v>153</v>
      </c>
      <c r="C18" s="107">
        <v>258950</v>
      </c>
      <c r="D18" s="107"/>
      <c r="E18" s="107"/>
      <c r="F18" s="107"/>
      <c r="G18" s="144">
        <f t="shared" si="0"/>
        <v>258950</v>
      </c>
    </row>
    <row r="19" spans="1:7" s="108" customFormat="1" ht="24" customHeight="1" thickBot="1" x14ac:dyDescent="0.3">
      <c r="A19" s="145" t="s">
        <v>22</v>
      </c>
      <c r="B19" s="146" t="s">
        <v>48</v>
      </c>
      <c r="C19" s="147">
        <f>SUM(C13:C18)</f>
        <v>1054255</v>
      </c>
      <c r="D19" s="147">
        <f>SUM(D13:D18)</f>
        <v>0</v>
      </c>
      <c r="E19" s="147">
        <f>SUM(E13:E18)</f>
        <v>0</v>
      </c>
      <c r="F19" s="147">
        <f>SUM(F13:F18)</f>
        <v>0</v>
      </c>
      <c r="G19" s="148">
        <f t="shared" si="0"/>
        <v>1054255</v>
      </c>
    </row>
    <row r="20" spans="1:7" s="103" customFormat="1" x14ac:dyDescent="0.25">
      <c r="A20"/>
      <c r="B20"/>
      <c r="C20"/>
      <c r="D20"/>
      <c r="E20"/>
      <c r="F20"/>
      <c r="G20"/>
    </row>
    <row r="21" spans="1:7" s="103" customFormat="1" x14ac:dyDescent="0.25">
      <c r="A21"/>
      <c r="B21"/>
      <c r="C21"/>
      <c r="D21"/>
      <c r="E21"/>
      <c r="F21"/>
      <c r="G21"/>
    </row>
    <row r="22" spans="1:7" s="103" customFormat="1" x14ac:dyDescent="0.25">
      <c r="A22"/>
      <c r="B22"/>
      <c r="C22"/>
      <c r="D22"/>
      <c r="E22"/>
      <c r="F22"/>
      <c r="G22"/>
    </row>
    <row r="23" spans="1:7" s="103" customFormat="1" ht="15.6" x14ac:dyDescent="0.3">
      <c r="A23" s="736" t="s">
        <v>420</v>
      </c>
      <c r="B23" s="737"/>
      <c r="C23" s="737"/>
      <c r="D23" s="737"/>
      <c r="G23"/>
    </row>
    <row r="24" spans="1:7" s="103" customFormat="1" x14ac:dyDescent="0.25">
      <c r="A24"/>
      <c r="B24"/>
      <c r="C24"/>
      <c r="D24"/>
      <c r="E24"/>
      <c r="F24"/>
      <c r="G24"/>
    </row>
    <row r="26" spans="1:7" x14ac:dyDescent="0.25">
      <c r="C26" s="103"/>
      <c r="D26" s="103"/>
      <c r="E26" s="103"/>
      <c r="F26" s="103"/>
    </row>
    <row r="27" spans="1:7" ht="13.8" x14ac:dyDescent="0.3">
      <c r="C27" s="149"/>
      <c r="D27" s="150" t="s">
        <v>154</v>
      </c>
      <c r="E27" s="150"/>
      <c r="F27" s="149"/>
    </row>
    <row r="28" spans="1:7" ht="13.8" x14ac:dyDescent="0.3">
      <c r="D28" s="109"/>
      <c r="E28" s="109"/>
    </row>
    <row r="29" spans="1:7" ht="13.8" x14ac:dyDescent="0.3">
      <c r="D29" s="109"/>
      <c r="E29" s="109"/>
    </row>
  </sheetData>
  <mergeCells count="5">
    <mergeCell ref="C6:G6"/>
    <mergeCell ref="C8:F8"/>
    <mergeCell ref="A4:G4"/>
    <mergeCell ref="B2:G2"/>
    <mergeCell ref="A23:D23"/>
  </mergeCells>
  <phoneticPr fontId="28" type="noConversion"/>
  <printOptions horizontalCentered="1"/>
  <pageMargins left="0.78740157480314965" right="0.78740157480314965" top="1.1417322834645669" bottom="0.98425196850393704" header="0.78740157480314965" footer="0.78740157480314965"/>
  <pageSetup paperSize="9" scale="95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3">
    <tabColor rgb="FF92D050"/>
    <pageSetUpPr fitToPage="1"/>
  </sheetPr>
  <dimension ref="A1:D28"/>
  <sheetViews>
    <sheetView zoomScale="120" zoomScaleNormal="120" zoomScalePageLayoutView="120" workbookViewId="0">
      <selection activeCell="A2" sqref="A2:C28"/>
    </sheetView>
  </sheetViews>
  <sheetFormatPr defaultColWidth="9.33203125" defaultRowHeight="13.2" x14ac:dyDescent="0.25"/>
  <cols>
    <col min="1" max="1" width="13.77734375" customWidth="1"/>
    <col min="2" max="2" width="88.6640625" customWidth="1"/>
    <col min="3" max="3" width="16.77734375" customWidth="1"/>
    <col min="4" max="4" width="4.77734375" style="342" customWidth="1"/>
  </cols>
  <sheetData>
    <row r="1" spans="1:4" ht="47.25" customHeight="1" x14ac:dyDescent="0.25">
      <c r="B1" s="738" t="str">
        <f>+CONCATENATE("A ",LEFT(KV_ÖSSZEFÜGGÉSEK!A5,4),". évi általános működés és ágazati feladatok támogatásának alakulása jogcímenként")</f>
        <v>A 2025. évi általános működés és ágazati feladatok támogatásának alakulása jogcímenként</v>
      </c>
      <c r="C1" s="738"/>
      <c r="D1" s="739" t="s">
        <v>695</v>
      </c>
    </row>
    <row r="2" spans="1:4" ht="22.5" customHeight="1" thickBot="1" x14ac:dyDescent="0.35">
      <c r="B2" s="215"/>
      <c r="C2" s="339" t="s">
        <v>304</v>
      </c>
      <c r="D2" s="739"/>
    </row>
    <row r="3" spans="1:4" ht="63" customHeight="1" thickBot="1" x14ac:dyDescent="0.3">
      <c r="A3" s="340" t="s">
        <v>581</v>
      </c>
      <c r="B3" s="175" t="s">
        <v>47</v>
      </c>
      <c r="C3" s="319" t="str">
        <f>+CONCATENATE(LEFT(KV_ÖSSZEFÜGGÉSEK!A5,4),". évi tervezett támogatás összesen")</f>
        <v>2025. évi tervezett támogatás összesen</v>
      </c>
      <c r="D3" s="739"/>
    </row>
    <row r="4" spans="1:4" s="23" customFormat="1" ht="13.8" thickBot="1" x14ac:dyDescent="0.3">
      <c r="A4" s="341" t="s">
        <v>281</v>
      </c>
      <c r="B4" s="117" t="s">
        <v>282</v>
      </c>
      <c r="C4" s="118" t="s">
        <v>283</v>
      </c>
      <c r="D4" s="739"/>
    </row>
    <row r="5" spans="1:4" x14ac:dyDescent="0.25">
      <c r="A5" s="528" t="s">
        <v>592</v>
      </c>
      <c r="B5" s="528" t="s">
        <v>593</v>
      </c>
      <c r="C5" s="532">
        <v>938600</v>
      </c>
      <c r="D5" s="739"/>
    </row>
    <row r="6" spans="1:4" ht="12.75" customHeight="1" x14ac:dyDescent="0.25">
      <c r="A6" s="528" t="s">
        <v>594</v>
      </c>
      <c r="B6" s="528" t="s">
        <v>595</v>
      </c>
      <c r="C6" s="533">
        <v>3316500</v>
      </c>
      <c r="D6" s="739"/>
    </row>
    <row r="7" spans="1:4" x14ac:dyDescent="0.25">
      <c r="A7" s="528" t="s">
        <v>596</v>
      </c>
      <c r="B7" s="528" t="s">
        <v>597</v>
      </c>
      <c r="C7" s="533">
        <v>80000</v>
      </c>
      <c r="D7" s="739"/>
    </row>
    <row r="8" spans="1:4" x14ac:dyDescent="0.25">
      <c r="A8" s="528" t="s">
        <v>598</v>
      </c>
      <c r="B8" s="528" t="s">
        <v>599</v>
      </c>
      <c r="C8" s="533">
        <v>568820</v>
      </c>
      <c r="D8" s="739"/>
    </row>
    <row r="9" spans="1:4" x14ac:dyDescent="0.25">
      <c r="A9" s="528" t="s">
        <v>600</v>
      </c>
      <c r="B9" s="528" t="s">
        <v>601</v>
      </c>
      <c r="C9" s="533">
        <v>878570</v>
      </c>
      <c r="D9" s="739"/>
    </row>
    <row r="10" spans="1:4" x14ac:dyDescent="0.25">
      <c r="A10" s="528" t="s">
        <v>602</v>
      </c>
      <c r="B10" s="528" t="s">
        <v>603</v>
      </c>
      <c r="C10" s="533">
        <v>4800000</v>
      </c>
      <c r="D10" s="739"/>
    </row>
    <row r="11" spans="1:4" x14ac:dyDescent="0.25">
      <c r="A11" s="528" t="s">
        <v>604</v>
      </c>
      <c r="B11" s="528" t="s">
        <v>605</v>
      </c>
      <c r="C11" s="533">
        <v>102000</v>
      </c>
      <c r="D11" s="739"/>
    </row>
    <row r="12" spans="1:4" x14ac:dyDescent="0.25">
      <c r="A12" s="529" t="s">
        <v>606</v>
      </c>
      <c r="B12" s="528" t="s">
        <v>607</v>
      </c>
      <c r="C12" s="533">
        <v>3695924</v>
      </c>
      <c r="D12" s="739"/>
    </row>
    <row r="13" spans="1:4" ht="12.9" customHeight="1" x14ac:dyDescent="0.25">
      <c r="A13" s="544" t="s">
        <v>608</v>
      </c>
      <c r="B13" s="544" t="s">
        <v>609</v>
      </c>
      <c r="C13" s="545">
        <f>SUM(C5:C12)</f>
        <v>14380414</v>
      </c>
      <c r="D13" s="739"/>
    </row>
    <row r="14" spans="1:4" x14ac:dyDescent="0.25">
      <c r="A14" s="528" t="s">
        <v>610</v>
      </c>
      <c r="B14" s="528" t="s">
        <v>611</v>
      </c>
      <c r="C14" s="533">
        <v>442600</v>
      </c>
      <c r="D14" s="739"/>
    </row>
    <row r="15" spans="1:4" x14ac:dyDescent="0.25">
      <c r="A15" s="528" t="s">
        <v>612</v>
      </c>
      <c r="B15" s="528" t="s">
        <v>613</v>
      </c>
      <c r="C15" s="533">
        <v>6343500</v>
      </c>
      <c r="D15" s="739"/>
    </row>
    <row r="16" spans="1:4" x14ac:dyDescent="0.25">
      <c r="A16" s="528" t="s">
        <v>614</v>
      </c>
      <c r="B16" s="528" t="s">
        <v>615</v>
      </c>
      <c r="C16" s="533"/>
      <c r="D16" s="739"/>
    </row>
    <row r="17" spans="1:4" x14ac:dyDescent="0.25">
      <c r="A17" s="544" t="s">
        <v>616</v>
      </c>
      <c r="B17" s="544" t="s">
        <v>617</v>
      </c>
      <c r="C17" s="545">
        <f>SUM(C14:C16)</f>
        <v>6786100</v>
      </c>
      <c r="D17" s="739"/>
    </row>
    <row r="18" spans="1:4" x14ac:dyDescent="0.25">
      <c r="A18" s="528" t="s">
        <v>618</v>
      </c>
      <c r="B18" s="528" t="s">
        <v>619</v>
      </c>
      <c r="C18" s="533"/>
      <c r="D18" s="739"/>
    </row>
    <row r="19" spans="1:4" x14ac:dyDescent="0.25">
      <c r="A19" s="528" t="s">
        <v>620</v>
      </c>
      <c r="B19" s="528" t="s">
        <v>621</v>
      </c>
      <c r="C19" s="533"/>
      <c r="D19" s="739"/>
    </row>
    <row r="20" spans="1:4" x14ac:dyDescent="0.25">
      <c r="A20" s="528" t="s">
        <v>622</v>
      </c>
      <c r="B20" s="528" t="s">
        <v>623</v>
      </c>
      <c r="C20" s="533">
        <v>222015</v>
      </c>
      <c r="D20" s="739"/>
    </row>
    <row r="21" spans="1:4" x14ac:dyDescent="0.25">
      <c r="A21" s="544" t="s">
        <v>624</v>
      </c>
      <c r="B21" s="544" t="s">
        <v>625</v>
      </c>
      <c r="C21" s="545">
        <f>SUM(C20)</f>
        <v>222015</v>
      </c>
      <c r="D21" s="739"/>
    </row>
    <row r="22" spans="1:4" x14ac:dyDescent="0.25">
      <c r="A22" s="528" t="s">
        <v>626</v>
      </c>
      <c r="B22" s="528" t="s">
        <v>627</v>
      </c>
      <c r="C22" s="533">
        <v>2270000</v>
      </c>
      <c r="D22" s="739"/>
    </row>
    <row r="23" spans="1:4" x14ac:dyDescent="0.25">
      <c r="A23" s="528"/>
      <c r="B23" s="656" t="s">
        <v>694</v>
      </c>
      <c r="C23" s="655">
        <v>742876</v>
      </c>
      <c r="D23" s="739"/>
    </row>
    <row r="24" spans="1:4" x14ac:dyDescent="0.25">
      <c r="A24" s="528"/>
      <c r="B24" s="528"/>
      <c r="C24" s="655"/>
      <c r="D24" s="739"/>
    </row>
    <row r="25" spans="1:4" x14ac:dyDescent="0.25">
      <c r="A25" s="544" t="s">
        <v>628</v>
      </c>
      <c r="B25" s="544" t="s">
        <v>629</v>
      </c>
      <c r="C25" s="546">
        <f>SUM(C22:C24)</f>
        <v>3012876</v>
      </c>
      <c r="D25" s="739"/>
    </row>
    <row r="26" spans="1:4" ht="13.8" thickBot="1" x14ac:dyDescent="0.3">
      <c r="A26" s="530"/>
      <c r="B26" s="531"/>
      <c r="C26" s="516"/>
      <c r="D26" s="739"/>
    </row>
    <row r="27" spans="1:4" s="24" customFormat="1" ht="12.75" customHeight="1" thickBot="1" x14ac:dyDescent="0.3">
      <c r="A27" s="523"/>
      <c r="B27" s="518" t="s">
        <v>48</v>
      </c>
      <c r="C27" s="517">
        <f>SUM(C13,C17,C21,C25)</f>
        <v>24401405</v>
      </c>
      <c r="D27" s="739"/>
    </row>
    <row r="28" spans="1:4" x14ac:dyDescent="0.25">
      <c r="A28" s="740" t="s">
        <v>582</v>
      </c>
      <c r="B28" s="740"/>
    </row>
  </sheetData>
  <mergeCells count="3">
    <mergeCell ref="B1:C1"/>
    <mergeCell ref="D1:D27"/>
    <mergeCell ref="A28:B28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orientation="landscape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71">
    <tabColor rgb="FF92D050"/>
  </sheetPr>
  <dimension ref="A1:G29"/>
  <sheetViews>
    <sheetView zoomScale="120" zoomScaleNormal="120" workbookViewId="0">
      <selection activeCell="A4" sqref="A4:D28"/>
    </sheetView>
  </sheetViews>
  <sheetFormatPr defaultRowHeight="13.2" x14ac:dyDescent="0.25"/>
  <cols>
    <col min="1" max="1" width="6.6640625" customWidth="1"/>
    <col min="2" max="2" width="77.6640625" bestFit="1" customWidth="1"/>
    <col min="3" max="3" width="25.44140625" customWidth="1"/>
    <col min="4" max="4" width="17.44140625" customWidth="1"/>
    <col min="6" max="6" width="13.109375" style="651" customWidth="1"/>
    <col min="7" max="7" width="11.77734375" style="651" customWidth="1"/>
  </cols>
  <sheetData>
    <row r="1" spans="1:7" ht="14.4" x14ac:dyDescent="0.3">
      <c r="C1" s="310"/>
      <c r="D1" s="315" t="s">
        <v>697</v>
      </c>
    </row>
    <row r="2" spans="1:7" ht="45.15" customHeight="1" x14ac:dyDescent="0.3">
      <c r="A2" s="744" t="str">
        <f>+CONCATENATE("K I M U T A T Á S",CHAR(10),"a ",LEFT(KV_ÖSSZEFÜGGÉSEK!A5,4),". évben céljelleggel juttatott támogatásokról")</f>
        <v>K I M U T A T Á S
a 2025. évben céljelleggel juttatott támogatásokról</v>
      </c>
      <c r="B2" s="744"/>
      <c r="C2" s="744"/>
      <c r="D2" s="744"/>
    </row>
    <row r="3" spans="1:7" ht="17.25" customHeight="1" x14ac:dyDescent="0.3">
      <c r="A3" s="214"/>
      <c r="B3" s="214"/>
      <c r="C3" s="214"/>
      <c r="D3" s="214"/>
    </row>
    <row r="4" spans="1:7" ht="13.8" thickBot="1" x14ac:dyDescent="0.3">
      <c r="C4" s="741" t="str">
        <f>'KV_15.sz.mell'!O3</f>
        <v>Forintban</v>
      </c>
      <c r="D4" s="741"/>
    </row>
    <row r="5" spans="1:7" ht="42.75" customHeight="1" thickBot="1" x14ac:dyDescent="0.3">
      <c r="A5" s="216" t="s">
        <v>60</v>
      </c>
      <c r="B5" s="217" t="s">
        <v>86</v>
      </c>
      <c r="C5" s="217" t="s">
        <v>87</v>
      </c>
      <c r="D5" s="218" t="s">
        <v>413</v>
      </c>
    </row>
    <row r="6" spans="1:7" ht="15.9" customHeight="1" x14ac:dyDescent="0.25">
      <c r="A6" s="135" t="s">
        <v>16</v>
      </c>
      <c r="B6" s="534" t="s">
        <v>630</v>
      </c>
      <c r="C6" s="539"/>
      <c r="D6" s="540">
        <f>SUM(D7:D15)</f>
        <v>17445581</v>
      </c>
      <c r="F6" s="651" t="s">
        <v>692</v>
      </c>
      <c r="G6" s="651" t="s">
        <v>693</v>
      </c>
    </row>
    <row r="7" spans="1:7" ht="15.9" customHeight="1" x14ac:dyDescent="0.25">
      <c r="A7" s="136" t="s">
        <v>17</v>
      </c>
      <c r="B7" s="535" t="s">
        <v>631</v>
      </c>
      <c r="C7" s="537" t="s">
        <v>635</v>
      </c>
      <c r="D7" s="543">
        <v>381072</v>
      </c>
    </row>
    <row r="8" spans="1:7" ht="15.9" customHeight="1" x14ac:dyDescent="0.25">
      <c r="A8" s="136" t="s">
        <v>18</v>
      </c>
      <c r="B8" s="536" t="s">
        <v>631</v>
      </c>
      <c r="C8" s="537" t="s">
        <v>636</v>
      </c>
      <c r="D8" s="543">
        <v>225546</v>
      </c>
    </row>
    <row r="9" spans="1:7" ht="15.9" customHeight="1" x14ac:dyDescent="0.25">
      <c r="A9" s="136" t="s">
        <v>19</v>
      </c>
      <c r="B9" s="536" t="s">
        <v>631</v>
      </c>
      <c r="C9" s="537" t="s">
        <v>637</v>
      </c>
      <c r="D9" s="654">
        <v>1628598</v>
      </c>
      <c r="E9" s="651">
        <f>D7+D9</f>
        <v>2009670</v>
      </c>
      <c r="F9" s="651">
        <v>2270934</v>
      </c>
      <c r="G9" s="651">
        <v>642336</v>
      </c>
    </row>
    <row r="10" spans="1:7" ht="15.9" customHeight="1" x14ac:dyDescent="0.25">
      <c r="A10" s="136" t="s">
        <v>20</v>
      </c>
      <c r="B10" s="537" t="s">
        <v>632</v>
      </c>
      <c r="C10" s="537" t="s">
        <v>638</v>
      </c>
      <c r="D10" s="543">
        <v>2714170</v>
      </c>
    </row>
    <row r="11" spans="1:7" ht="15.9" customHeight="1" x14ac:dyDescent="0.25">
      <c r="A11" s="136" t="s">
        <v>21</v>
      </c>
      <c r="B11" s="537" t="s">
        <v>632</v>
      </c>
      <c r="C11" s="537" t="s">
        <v>639</v>
      </c>
      <c r="D11" s="543">
        <v>1560000</v>
      </c>
    </row>
    <row r="12" spans="1:7" ht="15.9" customHeight="1" x14ac:dyDescent="0.25">
      <c r="A12" s="136" t="s">
        <v>22</v>
      </c>
      <c r="B12" s="537" t="s">
        <v>632</v>
      </c>
      <c r="C12" s="537" t="s">
        <v>636</v>
      </c>
      <c r="D12" s="543">
        <v>955750</v>
      </c>
    </row>
    <row r="13" spans="1:7" ht="15.9" customHeight="1" x14ac:dyDescent="0.25">
      <c r="A13" s="136" t="s">
        <v>23</v>
      </c>
      <c r="B13" s="537" t="s">
        <v>633</v>
      </c>
      <c r="C13" s="537" t="s">
        <v>638</v>
      </c>
      <c r="D13" s="654">
        <v>9405445</v>
      </c>
      <c r="F13" s="652">
        <v>11269029</v>
      </c>
      <c r="G13" s="651">
        <v>1863641</v>
      </c>
    </row>
    <row r="14" spans="1:7" ht="15.9" customHeight="1" x14ac:dyDescent="0.25">
      <c r="A14" s="136" t="s">
        <v>24</v>
      </c>
      <c r="B14" s="537"/>
      <c r="C14" s="537"/>
      <c r="D14" s="543"/>
    </row>
    <row r="15" spans="1:7" ht="15.9" customHeight="1" x14ac:dyDescent="0.25">
      <c r="A15" s="136" t="s">
        <v>25</v>
      </c>
      <c r="B15" s="538" t="s">
        <v>634</v>
      </c>
      <c r="C15" s="537" t="s">
        <v>640</v>
      </c>
      <c r="D15" s="543">
        <v>575000</v>
      </c>
    </row>
    <row r="16" spans="1:7" ht="15.9" customHeight="1" x14ac:dyDescent="0.25">
      <c r="A16" s="136" t="s">
        <v>26</v>
      </c>
      <c r="B16" s="10"/>
      <c r="C16" s="10"/>
      <c r="D16" s="278"/>
    </row>
    <row r="17" spans="1:4" ht="15.9" customHeight="1" x14ac:dyDescent="0.25">
      <c r="A17" s="136" t="s">
        <v>27</v>
      </c>
      <c r="B17" s="541" t="s">
        <v>641</v>
      </c>
      <c r="C17" s="547"/>
      <c r="D17" s="613">
        <f>SUM(D18:D23)</f>
        <v>1761350</v>
      </c>
    </row>
    <row r="18" spans="1:4" ht="15.9" customHeight="1" x14ac:dyDescent="0.25">
      <c r="A18" s="136" t="s">
        <v>28</v>
      </c>
      <c r="B18" s="542" t="s">
        <v>642</v>
      </c>
      <c r="C18" s="10"/>
      <c r="D18" s="543">
        <v>383350</v>
      </c>
    </row>
    <row r="19" spans="1:4" ht="15.9" customHeight="1" x14ac:dyDescent="0.25">
      <c r="A19" s="136" t="s">
        <v>29</v>
      </c>
      <c r="B19" s="542" t="s">
        <v>643</v>
      </c>
      <c r="C19" s="10"/>
      <c r="D19" s="543">
        <v>50000</v>
      </c>
    </row>
    <row r="20" spans="1:4" ht="15.9" customHeight="1" x14ac:dyDescent="0.25">
      <c r="A20" s="136" t="s">
        <v>30</v>
      </c>
      <c r="B20" s="542" t="s">
        <v>644</v>
      </c>
      <c r="C20" s="10"/>
      <c r="D20" s="543">
        <v>178000</v>
      </c>
    </row>
    <row r="21" spans="1:4" ht="15.9" customHeight="1" x14ac:dyDescent="0.25">
      <c r="A21" s="136" t="s">
        <v>31</v>
      </c>
      <c r="B21" s="542" t="s">
        <v>645</v>
      </c>
      <c r="C21" s="10"/>
      <c r="D21" s="543">
        <v>1000000</v>
      </c>
    </row>
    <row r="22" spans="1:4" ht="15.9" customHeight="1" x14ac:dyDescent="0.25">
      <c r="A22" s="136" t="s">
        <v>32</v>
      </c>
      <c r="B22" s="542" t="s">
        <v>646</v>
      </c>
      <c r="C22" s="10"/>
      <c r="D22" s="543">
        <v>100000</v>
      </c>
    </row>
    <row r="23" spans="1:4" ht="15.9" customHeight="1" x14ac:dyDescent="0.25">
      <c r="A23" s="136" t="s">
        <v>33</v>
      </c>
      <c r="B23" s="542" t="s">
        <v>647</v>
      </c>
      <c r="C23" s="10"/>
      <c r="D23" s="543">
        <v>50000</v>
      </c>
    </row>
    <row r="24" spans="1:4" ht="15.9" customHeight="1" x14ac:dyDescent="0.25">
      <c r="A24" s="136" t="s">
        <v>34</v>
      </c>
      <c r="B24" s="542"/>
      <c r="C24" s="10"/>
      <c r="D24" s="543"/>
    </row>
    <row r="25" spans="1:4" ht="15.9" customHeight="1" x14ac:dyDescent="0.25">
      <c r="A25" s="136" t="s">
        <v>35</v>
      </c>
      <c r="B25" s="10"/>
      <c r="C25" s="10"/>
      <c r="D25" s="278"/>
    </row>
    <row r="26" spans="1:4" ht="15.9" customHeight="1" x14ac:dyDescent="0.25">
      <c r="A26" s="136" t="s">
        <v>36</v>
      </c>
      <c r="B26" s="10"/>
      <c r="C26" s="10"/>
      <c r="D26" s="278"/>
    </row>
    <row r="27" spans="1:4" ht="15.9" customHeight="1" thickBot="1" x14ac:dyDescent="0.3">
      <c r="A27" s="136" t="s">
        <v>37</v>
      </c>
      <c r="B27" s="10"/>
      <c r="C27" s="10"/>
      <c r="D27" s="278"/>
    </row>
    <row r="28" spans="1:4" ht="15.9" customHeight="1" thickBot="1" x14ac:dyDescent="0.3">
      <c r="A28" s="742" t="s">
        <v>48</v>
      </c>
      <c r="B28" s="743"/>
      <c r="C28" s="137"/>
      <c r="D28" s="279">
        <f>SUM(D6,D17)</f>
        <v>19206931</v>
      </c>
    </row>
    <row r="29" spans="1:4" x14ac:dyDescent="0.25">
      <c r="A29" t="s">
        <v>137</v>
      </c>
    </row>
  </sheetData>
  <mergeCells count="3">
    <mergeCell ref="C4:D4"/>
    <mergeCell ref="A28:B28"/>
    <mergeCell ref="A2:D2"/>
  </mergeCells>
  <phoneticPr fontId="28" type="noConversion"/>
  <conditionalFormatting sqref="D28">
    <cfRule type="cellIs" dxfId="0" priority="1" stopIfTrue="1" operator="equal">
      <formula>0</formula>
    </cfRule>
  </conditionalFormatting>
  <printOptions horizontalCentered="1"/>
  <pageMargins left="0.78740157480314965" right="0.78740157480314965" top="1.06" bottom="0.98425196850393704" header="0.78740157480314965" footer="0.7874015748031496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5">
    <pageSetUpPr fitToPage="1"/>
  </sheetPr>
  <dimension ref="A1:R33"/>
  <sheetViews>
    <sheetView topLeftCell="A28" zoomScale="120" zoomScaleNormal="120" workbookViewId="0">
      <selection activeCell="I11" sqref="I11"/>
    </sheetView>
  </sheetViews>
  <sheetFormatPr defaultRowHeight="13.2" x14ac:dyDescent="0.25"/>
  <cols>
    <col min="1" max="1" width="33.44140625" customWidth="1"/>
    <col min="2" max="2" width="21.77734375" customWidth="1"/>
    <col min="3" max="3" width="1.77734375" bestFit="1" customWidth="1"/>
    <col min="4" max="4" width="5.44140625" bestFit="1" customWidth="1"/>
    <col min="5" max="5" width="1.77734375" bestFit="1" customWidth="1"/>
    <col min="6" max="6" width="22" customWidth="1"/>
    <col min="7" max="7" width="1.77734375" bestFit="1" customWidth="1"/>
    <col min="8" max="8" width="28.109375" customWidth="1"/>
    <col min="11" max="18" width="9.33203125" hidden="1" customWidth="1"/>
    <col min="19" max="20" width="0" hidden="1" customWidth="1"/>
  </cols>
  <sheetData>
    <row r="1" spans="1:18" ht="17.399999999999999" x14ac:dyDescent="0.3">
      <c r="A1" s="667" t="s">
        <v>317</v>
      </c>
      <c r="B1" s="667"/>
      <c r="C1" s="667"/>
      <c r="D1" s="667"/>
      <c r="E1" s="667"/>
      <c r="F1" s="667"/>
      <c r="G1" s="667"/>
      <c r="H1" s="667"/>
      <c r="I1" s="667"/>
      <c r="J1" s="667"/>
      <c r="K1" s="667"/>
      <c r="L1" s="667"/>
    </row>
    <row r="3" spans="1:18" ht="15.6" x14ac:dyDescent="0.3">
      <c r="A3" s="666" t="s">
        <v>583</v>
      </c>
      <c r="B3" s="666"/>
      <c r="C3" s="666"/>
      <c r="D3" s="666"/>
      <c r="E3" s="666"/>
      <c r="F3" s="666"/>
      <c r="G3" s="666"/>
      <c r="H3" s="666"/>
      <c r="I3" s="103"/>
      <c r="J3" s="103"/>
      <c r="K3" s="103"/>
    </row>
    <row r="6" spans="1:18" ht="13.8" x14ac:dyDescent="0.25">
      <c r="A6" s="288" t="s">
        <v>407</v>
      </c>
    </row>
    <row r="7" spans="1:18" x14ac:dyDescent="0.25">
      <c r="A7" s="317" t="s">
        <v>388</v>
      </c>
      <c r="B7" s="320" t="s">
        <v>387</v>
      </c>
      <c r="C7" s="103" t="s">
        <v>384</v>
      </c>
      <c r="D7" t="str">
        <f>CONCATENATE(TARTALOMJEGYZÉK!A1,".")</f>
        <v>2025.</v>
      </c>
      <c r="E7" s="103" t="s">
        <v>385</v>
      </c>
      <c r="F7" s="320" t="s">
        <v>387</v>
      </c>
      <c r="G7" s="103" t="s">
        <v>386</v>
      </c>
      <c r="H7" t="s">
        <v>389</v>
      </c>
      <c r="I7" s="103"/>
      <c r="J7" s="103"/>
      <c r="K7" s="103"/>
      <c r="L7" s="103"/>
    </row>
    <row r="8" spans="1:18" x14ac:dyDescent="0.25">
      <c r="A8" s="298"/>
      <c r="B8" s="297"/>
      <c r="F8" s="297"/>
    </row>
    <row r="9" spans="1:18" x14ac:dyDescent="0.25">
      <c r="A9" s="298"/>
      <c r="B9" s="297"/>
      <c r="F9" s="297"/>
    </row>
    <row r="10" spans="1:18" ht="13.8" thickBot="1" x14ac:dyDescent="0.3">
      <c r="I10" s="343" t="s">
        <v>579</v>
      </c>
      <c r="J10" s="343"/>
      <c r="K10" s="343"/>
    </row>
    <row r="11" spans="1:18" ht="16.8" thickTop="1" thickBot="1" x14ac:dyDescent="0.35">
      <c r="A11" s="666" t="s">
        <v>319</v>
      </c>
      <c r="B11" s="666"/>
      <c r="C11" s="666"/>
      <c r="D11" s="666"/>
      <c r="E11" s="666"/>
      <c r="F11" s="666"/>
      <c r="G11" s="666"/>
      <c r="H11" s="666"/>
      <c r="I11" s="370" t="s">
        <v>584</v>
      </c>
      <c r="K11" s="344" t="s">
        <v>24</v>
      </c>
      <c r="L11" t="s">
        <v>24</v>
      </c>
      <c r="M11" t="s">
        <v>24</v>
      </c>
      <c r="N11" t="str">
        <f>IF($I$11="Nem","",2)</f>
        <v/>
      </c>
      <c r="O11" t="s">
        <v>414</v>
      </c>
      <c r="P11" t="str">
        <f>CONCATENATE(K11,N11,O11)</f>
        <v>9..</v>
      </c>
      <c r="Q11" t="str">
        <f>CONCATENATE(L11,N11,O11)</f>
        <v>9..</v>
      </c>
      <c r="R11" t="str">
        <f>CONCATENATE(M11,N11,O11)</f>
        <v>9..</v>
      </c>
    </row>
    <row r="12" spans="1:18" ht="13.8" thickTop="1" x14ac:dyDescent="0.25"/>
    <row r="13" spans="1:18" ht="13.8" x14ac:dyDescent="0.25">
      <c r="A13" s="296" t="s">
        <v>320</v>
      </c>
      <c r="B13" s="665" t="s">
        <v>411</v>
      </c>
      <c r="C13" s="665"/>
      <c r="D13" s="665"/>
      <c r="E13" s="665"/>
      <c r="F13" s="665"/>
      <c r="G13" s="665"/>
      <c r="H13" s="665"/>
      <c r="I13" s="103"/>
      <c r="J13" s="103"/>
      <c r="K13" s="344" t="s">
        <v>24</v>
      </c>
      <c r="L13" t="s">
        <v>24</v>
      </c>
      <c r="M13" t="s">
        <v>24</v>
      </c>
      <c r="N13">
        <f>IF(I11="Nem",2,3)</f>
        <v>2</v>
      </c>
      <c r="O13" t="s">
        <v>414</v>
      </c>
      <c r="P13" t="str">
        <f>CONCATENATE(K13,N13,O13)</f>
        <v>9.2.</v>
      </c>
      <c r="Q13" t="str">
        <f>CONCATENATE(L13,N13,O13)</f>
        <v>9.2.</v>
      </c>
      <c r="R13" t="str">
        <f>CONCATENATE(M13,N13,O13)</f>
        <v>9.2.</v>
      </c>
    </row>
    <row r="14" spans="1:18" ht="13.8" x14ac:dyDescent="0.25">
      <c r="B14" s="318"/>
      <c r="C14" s="103"/>
      <c r="D14" s="103"/>
      <c r="E14" s="103"/>
      <c r="F14" s="103"/>
      <c r="G14" s="103"/>
      <c r="H14" s="103"/>
      <c r="I14" s="103"/>
      <c r="J14" s="103"/>
    </row>
    <row r="15" spans="1:18" ht="13.8" x14ac:dyDescent="0.25">
      <c r="A15" s="296" t="s">
        <v>321</v>
      </c>
      <c r="B15" s="665" t="s">
        <v>329</v>
      </c>
      <c r="C15" s="665"/>
      <c r="D15" s="665"/>
      <c r="E15" s="665"/>
      <c r="F15" s="665"/>
      <c r="G15" s="665"/>
      <c r="H15" s="665"/>
      <c r="I15" s="103"/>
      <c r="J15" s="103"/>
      <c r="K15" s="344" t="s">
        <v>24</v>
      </c>
      <c r="L15" t="s">
        <v>24</v>
      </c>
      <c r="M15" t="s">
        <v>24</v>
      </c>
      <c r="N15">
        <f>N13+1</f>
        <v>3</v>
      </c>
      <c r="O15" t="s">
        <v>414</v>
      </c>
      <c r="P15" t="str">
        <f>CONCATENATE(K15,N15,O15)</f>
        <v>9.3.</v>
      </c>
      <c r="Q15" t="str">
        <f>CONCATENATE(L15,N15,O15)</f>
        <v>9.3.</v>
      </c>
      <c r="R15" t="str">
        <f>CONCATENATE(M15,N15,O15)</f>
        <v>9.3.</v>
      </c>
    </row>
    <row r="16" spans="1:18" ht="13.8" x14ac:dyDescent="0.25">
      <c r="B16" s="318"/>
      <c r="C16" s="103"/>
      <c r="D16" s="103"/>
      <c r="E16" s="103"/>
      <c r="F16" s="103"/>
      <c r="G16" s="103"/>
      <c r="H16" s="103"/>
      <c r="I16" s="103"/>
      <c r="J16" s="103"/>
    </row>
    <row r="17" spans="1:18" ht="13.8" x14ac:dyDescent="0.25">
      <c r="A17" s="296" t="s">
        <v>322</v>
      </c>
      <c r="B17" s="665" t="s">
        <v>330</v>
      </c>
      <c r="C17" s="665"/>
      <c r="D17" s="665"/>
      <c r="E17" s="665"/>
      <c r="F17" s="665"/>
      <c r="G17" s="665"/>
      <c r="H17" s="665"/>
      <c r="I17" s="103"/>
      <c r="J17" s="103"/>
      <c r="K17" s="344" t="s">
        <v>24</v>
      </c>
      <c r="L17" t="s">
        <v>24</v>
      </c>
      <c r="M17" t="s">
        <v>24</v>
      </c>
      <c r="N17">
        <f>N15+1</f>
        <v>4</v>
      </c>
      <c r="O17" t="s">
        <v>414</v>
      </c>
      <c r="P17" t="str">
        <f>CONCATENATE(K17,N17,O17)</f>
        <v>9.4.</v>
      </c>
      <c r="Q17" t="str">
        <f>CONCATENATE(L17,N17,O17)</f>
        <v>9.4.</v>
      </c>
      <c r="R17" t="str">
        <f>CONCATENATE(M17,N17,O17)</f>
        <v>9.4.</v>
      </c>
    </row>
    <row r="18" spans="1:18" ht="13.8" x14ac:dyDescent="0.25">
      <c r="B18" s="318"/>
      <c r="C18" s="103"/>
      <c r="D18" s="103"/>
      <c r="E18" s="103"/>
      <c r="F18" s="103"/>
      <c r="G18" s="103"/>
      <c r="H18" s="103"/>
      <c r="I18" s="103"/>
      <c r="J18" s="103"/>
    </row>
    <row r="19" spans="1:18" ht="13.8" x14ac:dyDescent="0.25">
      <c r="A19" s="296" t="s">
        <v>323</v>
      </c>
      <c r="B19" s="665" t="s">
        <v>331</v>
      </c>
      <c r="C19" s="665"/>
      <c r="D19" s="665"/>
      <c r="E19" s="665"/>
      <c r="F19" s="665"/>
      <c r="G19" s="665"/>
      <c r="H19" s="665"/>
      <c r="I19" s="103"/>
      <c r="J19" s="103"/>
      <c r="K19" s="344" t="s">
        <v>24</v>
      </c>
      <c r="L19" t="s">
        <v>24</v>
      </c>
      <c r="M19" t="s">
        <v>24</v>
      </c>
      <c r="N19">
        <f>N17+1</f>
        <v>5</v>
      </c>
      <c r="O19" t="s">
        <v>414</v>
      </c>
      <c r="P19" t="str">
        <f>CONCATENATE(K19,N19,O19)</f>
        <v>9.5.</v>
      </c>
      <c r="Q19" t="str">
        <f>CONCATENATE(L19,N19,O19)</f>
        <v>9.5.</v>
      </c>
      <c r="R19" t="str">
        <f>CONCATENATE(M19,N19,O19)</f>
        <v>9.5.</v>
      </c>
    </row>
    <row r="20" spans="1:18" ht="13.8" x14ac:dyDescent="0.25">
      <c r="B20" s="318"/>
      <c r="C20" s="103"/>
      <c r="D20" s="103"/>
      <c r="E20" s="103"/>
      <c r="F20" s="103"/>
      <c r="G20" s="103"/>
      <c r="H20" s="103"/>
      <c r="I20" s="103"/>
      <c r="J20" s="103"/>
    </row>
    <row r="21" spans="1:18" ht="13.8" x14ac:dyDescent="0.25">
      <c r="A21" s="296" t="s">
        <v>324</v>
      </c>
      <c r="B21" s="665" t="s">
        <v>332</v>
      </c>
      <c r="C21" s="665"/>
      <c r="D21" s="665"/>
      <c r="E21" s="665"/>
      <c r="F21" s="665"/>
      <c r="G21" s="665"/>
      <c r="H21" s="665"/>
      <c r="I21" s="103"/>
      <c r="J21" s="103"/>
      <c r="K21" s="344" t="s">
        <v>24</v>
      </c>
      <c r="L21" t="s">
        <v>24</v>
      </c>
      <c r="M21" t="s">
        <v>24</v>
      </c>
      <c r="N21">
        <f>N19+1</f>
        <v>6</v>
      </c>
      <c r="O21" t="s">
        <v>414</v>
      </c>
      <c r="P21" t="str">
        <f>CONCATENATE(K21,N21,O21)</f>
        <v>9.6.</v>
      </c>
      <c r="Q21" t="str">
        <f>CONCATENATE(L21,N21,O21)</f>
        <v>9.6.</v>
      </c>
      <c r="R21" t="str">
        <f>CONCATENATE(M21,N21,O21)</f>
        <v>9.6.</v>
      </c>
    </row>
    <row r="22" spans="1:18" ht="13.8" x14ac:dyDescent="0.25">
      <c r="B22" s="318"/>
      <c r="C22" s="103"/>
      <c r="D22" s="103"/>
      <c r="E22" s="103"/>
      <c r="F22" s="103"/>
      <c r="G22" s="103"/>
      <c r="H22" s="103"/>
      <c r="I22" s="103"/>
      <c r="J22" s="103"/>
    </row>
    <row r="23" spans="1:18" ht="13.8" x14ac:dyDescent="0.25">
      <c r="A23" s="296" t="s">
        <v>325</v>
      </c>
      <c r="B23" s="665" t="s">
        <v>333</v>
      </c>
      <c r="C23" s="665"/>
      <c r="D23" s="665"/>
      <c r="E23" s="665"/>
      <c r="F23" s="665"/>
      <c r="G23" s="665"/>
      <c r="H23" s="665"/>
      <c r="I23" s="103"/>
      <c r="J23" s="103"/>
      <c r="K23" s="344" t="s">
        <v>24</v>
      </c>
      <c r="L23" t="s">
        <v>24</v>
      </c>
      <c r="M23" t="s">
        <v>24</v>
      </c>
      <c r="N23">
        <f>N21+1</f>
        <v>7</v>
      </c>
      <c r="O23" t="s">
        <v>414</v>
      </c>
      <c r="P23" t="str">
        <f>CONCATENATE(K23,N23,O23)</f>
        <v>9.7.</v>
      </c>
      <c r="Q23" t="str">
        <f>CONCATENATE(L23,N23,O23)</f>
        <v>9.7.</v>
      </c>
      <c r="R23" t="str">
        <f>CONCATENATE(M23,N23,O23)</f>
        <v>9.7.</v>
      </c>
    </row>
    <row r="24" spans="1:18" ht="13.8" x14ac:dyDescent="0.25">
      <c r="B24" s="318"/>
      <c r="C24" s="103"/>
      <c r="D24" s="103"/>
      <c r="E24" s="103"/>
      <c r="F24" s="103"/>
      <c r="G24" s="103"/>
      <c r="H24" s="103"/>
      <c r="I24" s="103"/>
      <c r="J24" s="103"/>
    </row>
    <row r="25" spans="1:18" ht="13.8" x14ac:dyDescent="0.25">
      <c r="A25" s="296" t="s">
        <v>326</v>
      </c>
      <c r="B25" s="665" t="s">
        <v>334</v>
      </c>
      <c r="C25" s="665"/>
      <c r="D25" s="665"/>
      <c r="E25" s="665"/>
      <c r="F25" s="665"/>
      <c r="G25" s="665"/>
      <c r="H25" s="665"/>
      <c r="I25" s="103"/>
      <c r="J25" s="103"/>
      <c r="K25" s="344" t="s">
        <v>24</v>
      </c>
      <c r="L25" t="s">
        <v>24</v>
      </c>
      <c r="M25" t="s">
        <v>24</v>
      </c>
      <c r="N25">
        <f>N23+1</f>
        <v>8</v>
      </c>
      <c r="O25" t="s">
        <v>414</v>
      </c>
      <c r="P25" t="str">
        <f>CONCATENATE(K25,N25,O25)</f>
        <v>9.8.</v>
      </c>
      <c r="Q25" t="str">
        <f>CONCATENATE(L25,N25,O25)</f>
        <v>9.8.</v>
      </c>
      <c r="R25" t="str">
        <f>CONCATENATE(M25,N25,O25)</f>
        <v>9.8.</v>
      </c>
    </row>
    <row r="26" spans="1:18" ht="13.8" x14ac:dyDescent="0.25">
      <c r="B26" s="318"/>
      <c r="C26" s="103"/>
      <c r="D26" s="103"/>
      <c r="E26" s="103"/>
      <c r="F26" s="103"/>
      <c r="G26" s="103"/>
      <c r="H26" s="103"/>
      <c r="I26" s="103"/>
      <c r="J26" s="103"/>
    </row>
    <row r="27" spans="1:18" ht="13.8" x14ac:dyDescent="0.25">
      <c r="A27" s="296" t="s">
        <v>327</v>
      </c>
      <c r="B27" s="665" t="s">
        <v>335</v>
      </c>
      <c r="C27" s="665"/>
      <c r="D27" s="665"/>
      <c r="E27" s="665"/>
      <c r="F27" s="665"/>
      <c r="G27" s="665"/>
      <c r="H27" s="665"/>
      <c r="I27" s="103"/>
      <c r="J27" s="103"/>
      <c r="K27" s="344" t="s">
        <v>24</v>
      </c>
      <c r="L27" t="s">
        <v>24</v>
      </c>
      <c r="M27" t="s">
        <v>24</v>
      </c>
      <c r="N27">
        <f>N25+1</f>
        <v>9</v>
      </c>
      <c r="O27" t="s">
        <v>414</v>
      </c>
      <c r="P27" t="str">
        <f>CONCATENATE(K27,N27,O27)</f>
        <v>9.9.</v>
      </c>
      <c r="Q27" t="str">
        <f>CONCATENATE(L27,N27,O27)</f>
        <v>9.9.</v>
      </c>
      <c r="R27" t="str">
        <f>CONCATENATE(M27,N27,O27)</f>
        <v>9.9.</v>
      </c>
    </row>
    <row r="28" spans="1:18" ht="13.8" x14ac:dyDescent="0.25">
      <c r="B28" s="318"/>
      <c r="C28" s="103"/>
      <c r="D28" s="103"/>
      <c r="E28" s="103"/>
      <c r="F28" s="103"/>
      <c r="G28" s="103"/>
      <c r="H28" s="103"/>
      <c r="I28" s="103"/>
      <c r="J28" s="103"/>
    </row>
    <row r="29" spans="1:18" ht="13.8" x14ac:dyDescent="0.25">
      <c r="A29" s="296" t="s">
        <v>327</v>
      </c>
      <c r="B29" s="665" t="s">
        <v>336</v>
      </c>
      <c r="C29" s="665"/>
      <c r="D29" s="665"/>
      <c r="E29" s="665"/>
      <c r="F29" s="665"/>
      <c r="G29" s="665"/>
      <c r="H29" s="665"/>
      <c r="I29" s="103"/>
      <c r="J29" s="103"/>
      <c r="K29" s="344" t="s">
        <v>24</v>
      </c>
      <c r="L29" t="s">
        <v>24</v>
      </c>
      <c r="M29" t="s">
        <v>24</v>
      </c>
      <c r="N29">
        <f>N27+1</f>
        <v>10</v>
      </c>
      <c r="O29" t="s">
        <v>414</v>
      </c>
      <c r="P29" t="str">
        <f>CONCATENATE(K29,N29,O29)</f>
        <v>9.10.</v>
      </c>
      <c r="Q29" t="str">
        <f>CONCATENATE(L29,N29,O29)</f>
        <v>9.10.</v>
      </c>
      <c r="R29" t="str">
        <f>CONCATENATE(M29,N29,O29)</f>
        <v>9.10.</v>
      </c>
    </row>
    <row r="30" spans="1:18" ht="13.8" x14ac:dyDescent="0.25">
      <c r="B30" s="318"/>
      <c r="C30" s="103"/>
      <c r="D30" s="103"/>
      <c r="E30" s="103"/>
      <c r="F30" s="103"/>
      <c r="G30" s="103"/>
      <c r="H30" s="103"/>
      <c r="I30" s="103"/>
      <c r="J30" s="103"/>
    </row>
    <row r="31" spans="1:18" ht="13.8" x14ac:dyDescent="0.25">
      <c r="A31" s="296" t="s">
        <v>328</v>
      </c>
      <c r="B31" s="665" t="s">
        <v>337</v>
      </c>
      <c r="C31" s="665"/>
      <c r="D31" s="665"/>
      <c r="E31" s="665"/>
      <c r="F31" s="665"/>
      <c r="G31" s="665"/>
      <c r="H31" s="665"/>
      <c r="I31" s="103"/>
      <c r="J31" s="103"/>
      <c r="K31" s="344" t="s">
        <v>24</v>
      </c>
      <c r="L31" t="s">
        <v>24</v>
      </c>
      <c r="M31" t="s">
        <v>24</v>
      </c>
      <c r="N31">
        <f>N29+1</f>
        <v>11</v>
      </c>
      <c r="O31" t="s">
        <v>414</v>
      </c>
      <c r="P31" t="str">
        <f>CONCATENATE(K31,N31,O31)</f>
        <v>9.11.</v>
      </c>
      <c r="Q31" t="str">
        <f>CONCATENATE(L31,N31,O31)</f>
        <v>9.11.</v>
      </c>
      <c r="R31" t="str">
        <f>CONCATENATE(M31,N31,O31)</f>
        <v>9.11.</v>
      </c>
    </row>
    <row r="32" spans="1:18" x14ac:dyDescent="0.25">
      <c r="B32" s="103"/>
      <c r="C32" s="103"/>
      <c r="D32" s="103"/>
      <c r="E32" s="103"/>
      <c r="F32" s="103"/>
      <c r="G32" s="103"/>
      <c r="H32" s="103"/>
    </row>
    <row r="33" spans="1:1" ht="13.8" x14ac:dyDescent="0.25">
      <c r="A33" s="296"/>
    </row>
  </sheetData>
  <mergeCells count="13">
    <mergeCell ref="A1:L1"/>
    <mergeCell ref="B15:H15"/>
    <mergeCell ref="B17:H17"/>
    <mergeCell ref="B19:H19"/>
    <mergeCell ref="B21:H21"/>
    <mergeCell ref="B25:H25"/>
    <mergeCell ref="B27:H27"/>
    <mergeCell ref="B29:H29"/>
    <mergeCell ref="B31:H31"/>
    <mergeCell ref="A3:H3"/>
    <mergeCell ref="A11:H11"/>
    <mergeCell ref="B13:H13"/>
    <mergeCell ref="B23:H23"/>
  </mergeCells>
  <phoneticPr fontId="28" type="noConversion"/>
  <conditionalFormatting sqref="A11:H11">
    <cfRule type="expression" dxfId="3" priority="1" stopIfTrue="1">
      <formula>$I$11="Nem"</formula>
    </cfRule>
  </conditionalFormatting>
  <dataValidations count="2">
    <dataValidation type="list" allowBlank="1" showInputMessage="1" showErrorMessage="1" sqref="A6" xr:uid="{00000000-0002-0000-0100-000000000000}">
      <formula1>",Előterjesztéskor,Jóváhagyás után"</formula1>
    </dataValidation>
    <dataValidation type="list" allowBlank="1" showInputMessage="1" showErrorMessage="1" sqref="I11:K11" xr:uid="{00000000-0002-0000-0100-000001000000}">
      <formula1>"Igen,Nem"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unka68">
    <tabColor rgb="FF92D050"/>
  </sheetPr>
  <dimension ref="A1:G171"/>
  <sheetViews>
    <sheetView zoomScale="120" zoomScaleNormal="120" zoomScaleSheetLayoutView="100" workbookViewId="0">
      <selection activeCell="A5" sqref="A5:E158"/>
    </sheetView>
  </sheetViews>
  <sheetFormatPr defaultColWidth="9.33203125" defaultRowHeight="15.6" x14ac:dyDescent="0.3"/>
  <cols>
    <col min="1" max="1" width="7.77734375" style="407" customWidth="1"/>
    <col min="2" max="2" width="75.77734375" style="15" customWidth="1"/>
    <col min="3" max="3" width="15.44140625" style="219" customWidth="1"/>
    <col min="4" max="5" width="15.44140625" style="15" customWidth="1"/>
    <col min="6" max="6" width="9" style="15" customWidth="1"/>
    <col min="7" max="16384" width="9.33203125" style="15"/>
  </cols>
  <sheetData>
    <row r="1" spans="1:5" ht="14.4" customHeight="1" x14ac:dyDescent="0.3">
      <c r="E1" s="312" t="s">
        <v>698</v>
      </c>
    </row>
    <row r="2" spans="1:5" x14ac:dyDescent="0.3">
      <c r="A2" s="745" t="str">
        <f>CONCATENATE(ALAPADATOK!A3)</f>
        <v>Alsónyék Község Önkormányzata</v>
      </c>
      <c r="B2" s="745"/>
      <c r="C2" s="745"/>
      <c r="D2" s="745"/>
      <c r="E2" s="745"/>
    </row>
    <row r="3" spans="1:5" x14ac:dyDescent="0.3">
      <c r="A3" s="745" t="str">
        <f>CONCATENATE("Tájékoztató a ",LEFT(ALAPADATOK!D7,4)-2,". évi tény, ",LEFT(ALAPADATOK!D7,4)-1,". évi várható és ",LEFT(ALAPADATOK!D7,4),". évi terv adatokról")</f>
        <v>Tájékoztató a 2023. évi tény, 2024. évi várható és 2025. évi terv adatokról</v>
      </c>
      <c r="B3" s="745"/>
      <c r="C3" s="745"/>
      <c r="D3" s="745"/>
      <c r="E3" s="745"/>
    </row>
    <row r="4" spans="1:5" ht="15.9" customHeight="1" x14ac:dyDescent="0.3">
      <c r="A4" s="674" t="s">
        <v>13</v>
      </c>
      <c r="B4" s="674"/>
      <c r="C4" s="674"/>
      <c r="D4" s="674"/>
      <c r="E4" s="674"/>
    </row>
    <row r="5" spans="1:5" ht="15.9" customHeight="1" thickBot="1" x14ac:dyDescent="0.35">
      <c r="A5" s="672"/>
      <c r="B5" s="672"/>
      <c r="C5" s="390"/>
      <c r="D5" s="88"/>
      <c r="E5" s="187" t="str">
        <f>'KV_9.sz.mell'!G11</f>
        <v>Forintban</v>
      </c>
    </row>
    <row r="6" spans="1:5" ht="30.75" customHeight="1" thickBot="1" x14ac:dyDescent="0.35">
      <c r="A6" s="408" t="s">
        <v>60</v>
      </c>
      <c r="B6" s="497" t="s">
        <v>15</v>
      </c>
      <c r="C6" s="486" t="str">
        <f>+CONCATENATE(LEFT(KV_ÖSSZEFÜGGÉSEK!A5,4)-2,". évi tény")</f>
        <v>2023. évi tény</v>
      </c>
      <c r="D6" s="486" t="str">
        <f>+CONCATENATE(LEFT(KV_ÖSSZEFÜGGÉSEK!A5,4)-1,". évi várható")</f>
        <v>2024. évi várható</v>
      </c>
      <c r="E6" s="101" t="str">
        <f>+'KV_1.1.sz.mell.'!C8</f>
        <v>2025. évi előirányzat</v>
      </c>
    </row>
    <row r="7" spans="1:5" s="16" customFormat="1" ht="12" customHeight="1" thickBot="1" x14ac:dyDescent="0.25">
      <c r="A7" s="374" t="s">
        <v>281</v>
      </c>
      <c r="B7" s="498" t="s">
        <v>282</v>
      </c>
      <c r="C7" s="487" t="s">
        <v>283</v>
      </c>
      <c r="D7" s="487" t="s">
        <v>285</v>
      </c>
      <c r="E7" s="227" t="s">
        <v>284</v>
      </c>
    </row>
    <row r="8" spans="1:5" s="1" customFormat="1" ht="12" customHeight="1" thickBot="1" x14ac:dyDescent="0.3">
      <c r="A8" s="374">
        <f>'KV_1.1.sz.mell.'!A10</f>
        <v>1</v>
      </c>
      <c r="B8" s="499" t="str">
        <f>'KV_1.1.sz.mell.'!B10</f>
        <v>Működési célú támogatások államháztartáson belülről (10+…+11+…+14)</v>
      </c>
      <c r="C8" s="488">
        <f>C17+C18+C19+C20+C21</f>
        <v>41451671</v>
      </c>
      <c r="D8" s="488">
        <f>D17+D18+D19+D20+D21</f>
        <v>35995795</v>
      </c>
      <c r="E8" s="153">
        <f>E17+E18+E19+E20+E21</f>
        <v>28302912</v>
      </c>
    </row>
    <row r="9" spans="1:5" s="1" customFormat="1" ht="12" customHeight="1" x14ac:dyDescent="0.25">
      <c r="A9" s="371" t="str">
        <f>'KV_1.1.sz.mell.'!A11</f>
        <v>2</v>
      </c>
      <c r="B9" s="500" t="str">
        <f>'KV_1.1.sz.mell.'!B11</f>
        <v>Helyi önkormányzatok működésének általános támogatása</v>
      </c>
      <c r="C9" s="495">
        <v>13575297</v>
      </c>
      <c r="D9" s="495">
        <v>12175097</v>
      </c>
      <c r="E9" s="180">
        <v>14380414</v>
      </c>
    </row>
    <row r="10" spans="1:5" s="1" customFormat="1" ht="12" customHeight="1" x14ac:dyDescent="0.25">
      <c r="A10" s="371" t="str">
        <f>'KV_1.1.sz.mell.'!A12</f>
        <v>3</v>
      </c>
      <c r="B10" s="501" t="str">
        <f>'KV_1.1.sz.mell.'!B12</f>
        <v>Önkormányzatok egyes köznevelési feladatainak támogatása</v>
      </c>
      <c r="C10" s="493"/>
      <c r="D10" s="493"/>
      <c r="E10" s="180"/>
    </row>
    <row r="11" spans="1:5" s="1" customFormat="1" ht="12" customHeight="1" x14ac:dyDescent="0.25">
      <c r="A11" s="371" t="str">
        <f>'KV_1.1.sz.mell.'!A13</f>
        <v>4</v>
      </c>
      <c r="B11" s="501" t="str">
        <f>'KV_1.1.sz.mell.'!B13</f>
        <v>Önkormányzatok szociális és gyermekjóléti feladatainak támogatása</v>
      </c>
      <c r="C11" s="493">
        <v>6275799</v>
      </c>
      <c r="D11" s="493">
        <v>6814124</v>
      </c>
      <c r="E11" s="180">
        <v>6786100</v>
      </c>
    </row>
    <row r="12" spans="1:5" s="1" customFormat="1" ht="12" customHeight="1" x14ac:dyDescent="0.25">
      <c r="A12" s="371" t="str">
        <f>'KV_1.1.sz.mell.'!A14</f>
        <v>5</v>
      </c>
      <c r="B12" s="501" t="str">
        <f>'KV_1.1.sz.mell.'!B14</f>
        <v>Önkormányzatok gyermekétkeztetési feladatainak támogatása</v>
      </c>
      <c r="C12" s="493">
        <v>18468</v>
      </c>
      <c r="D12" s="493">
        <v>120555</v>
      </c>
      <c r="E12" s="180">
        <v>222015</v>
      </c>
    </row>
    <row r="13" spans="1:5" s="1" customFormat="1" ht="12" customHeight="1" x14ac:dyDescent="0.25">
      <c r="A13" s="371" t="str">
        <f>'KV_1.1.sz.mell.'!A15</f>
        <v>6</v>
      </c>
      <c r="B13" s="501" t="str">
        <f>'KV_1.1.sz.mell.'!B15</f>
        <v>Önkormányzatok kulturális feladatainak támogatása</v>
      </c>
      <c r="C13" s="493">
        <v>2270000</v>
      </c>
      <c r="D13" s="493">
        <v>2704824</v>
      </c>
      <c r="E13" s="180">
        <v>3012876</v>
      </c>
    </row>
    <row r="14" spans="1:5" s="1" customFormat="1" ht="12" customHeight="1" x14ac:dyDescent="0.25">
      <c r="A14" s="371" t="str">
        <f>'KV_1.1.sz.mell.'!A16</f>
        <v>7</v>
      </c>
      <c r="B14" s="502" t="str">
        <f>'KV_1.1.sz.mell.'!B16</f>
        <v xml:space="preserve">Működési célú kvi támogatások és kiegészítő támogatások </v>
      </c>
      <c r="C14" s="494">
        <v>2972491</v>
      </c>
      <c r="D14" s="494">
        <v>2842465</v>
      </c>
      <c r="E14" s="180"/>
    </row>
    <row r="15" spans="1:5" s="1" customFormat="1" ht="12" customHeight="1" x14ac:dyDescent="0.25">
      <c r="A15" s="371" t="str">
        <f>'KV_1.1.sz.mell.'!A17</f>
        <v>8</v>
      </c>
      <c r="B15" s="501" t="str">
        <f>'KV_1.1.sz.mell.'!B17</f>
        <v>Elszámolásból származó bevételek</v>
      </c>
      <c r="C15" s="493">
        <v>1948861</v>
      </c>
      <c r="D15" s="493">
        <v>1026</v>
      </c>
      <c r="E15" s="180"/>
    </row>
    <row r="16" spans="1:5" s="1" customFormat="1" ht="12" customHeight="1" x14ac:dyDescent="0.25">
      <c r="A16" s="371" t="str">
        <f>'KV_1.1.sz.mell.'!A18</f>
        <v>9</v>
      </c>
      <c r="B16" s="503" t="str">
        <f>'KV_1.1.sz.mell.'!B18</f>
        <v>Elvonások és befizetések bevételei</v>
      </c>
      <c r="C16" s="495"/>
      <c r="D16" s="495"/>
      <c r="E16" s="514"/>
    </row>
    <row r="17" spans="1:5" s="1" customFormat="1" ht="12" customHeight="1" x14ac:dyDescent="0.25">
      <c r="A17" s="371" t="str">
        <f>'KV_1.1.sz.mell.'!A19</f>
        <v>10</v>
      </c>
      <c r="B17" s="504" t="str">
        <f>'KV_1.1.sz.mell.'!B19</f>
        <v>Önkormányzat működési támogatásai (2+…+.9)</v>
      </c>
      <c r="C17" s="519">
        <f>SUM(C9:C16)</f>
        <v>27060916</v>
      </c>
      <c r="D17" s="519">
        <f>SUM(D9:D16)</f>
        <v>24658091</v>
      </c>
      <c r="E17" s="386">
        <f>SUM(E9:E16)</f>
        <v>24401405</v>
      </c>
    </row>
    <row r="18" spans="1:5" s="1" customFormat="1" ht="12" customHeight="1" x14ac:dyDescent="0.25">
      <c r="A18" s="371" t="str">
        <f>'KV_1.1.sz.mell.'!A20</f>
        <v>11</v>
      </c>
      <c r="B18" s="500" t="str">
        <f>'KV_1.1.sz.mell.'!B20</f>
        <v xml:space="preserve">Működési célú garancia- és kezességvállalásból megtérülések </v>
      </c>
      <c r="C18" s="493"/>
      <c r="D18" s="493"/>
      <c r="E18" s="180"/>
    </row>
    <row r="19" spans="1:5" s="1" customFormat="1" ht="12" customHeight="1" x14ac:dyDescent="0.25">
      <c r="A19" s="371" t="str">
        <f>'KV_1.1.sz.mell.'!A21</f>
        <v>12</v>
      </c>
      <c r="B19" s="501" t="str">
        <f>'KV_1.1.sz.mell.'!B21</f>
        <v xml:space="preserve">Működési célú visszatérítendő támogatások, kölcsönök visszatérülése </v>
      </c>
      <c r="C19" s="493"/>
      <c r="D19" s="493"/>
      <c r="E19" s="180"/>
    </row>
    <row r="20" spans="1:5" s="1" customFormat="1" ht="12" customHeight="1" x14ac:dyDescent="0.25">
      <c r="A20" s="371" t="str">
        <f>'KV_1.1.sz.mell.'!A22</f>
        <v>13</v>
      </c>
      <c r="B20" s="501" t="str">
        <f>'KV_1.1.sz.mell.'!B22</f>
        <v>Működési célú visszatérítendő támogatások, kölcsönök igénybevétele</v>
      </c>
      <c r="C20" s="493"/>
      <c r="D20" s="493"/>
      <c r="E20" s="180"/>
    </row>
    <row r="21" spans="1:5" s="1" customFormat="1" ht="12" customHeight="1" x14ac:dyDescent="0.25">
      <c r="A21" s="371" t="str">
        <f>'KV_1.1.sz.mell.'!A23</f>
        <v>14</v>
      </c>
      <c r="B21" s="501" t="str">
        <f>'KV_1.1.sz.mell.'!B23</f>
        <v xml:space="preserve">Egyéb működési célú támogatások bevételei </v>
      </c>
      <c r="C21" s="493">
        <v>14390755</v>
      </c>
      <c r="D21" s="493">
        <v>11337704</v>
      </c>
      <c r="E21" s="180">
        <v>3901507</v>
      </c>
    </row>
    <row r="22" spans="1:5" s="1" customFormat="1" ht="12" customHeight="1" thickBot="1" x14ac:dyDescent="0.3">
      <c r="A22" s="371" t="str">
        <f>'KV_1.1.sz.mell.'!A24</f>
        <v>15</v>
      </c>
      <c r="B22" s="502" t="str">
        <f>'KV_1.1.sz.mell.'!B24</f>
        <v>14-ből EU-s támogatás</v>
      </c>
      <c r="C22" s="494"/>
      <c r="D22" s="494"/>
      <c r="E22" s="180"/>
    </row>
    <row r="23" spans="1:5" s="1" customFormat="1" ht="12" customHeight="1" thickBot="1" x14ac:dyDescent="0.3">
      <c r="A23" s="374">
        <f>'KV_1.1.sz.mell.'!A25</f>
        <v>16</v>
      </c>
      <c r="B23" s="499" t="str">
        <f>'KV_1.1.sz.mell.'!B25</f>
        <v>Felhalmozási célú támogatások államháztartáson belülről (17+…+21)</v>
      </c>
      <c r="C23" s="488">
        <f>+C24+C25+C26+C27+C28</f>
        <v>0</v>
      </c>
      <c r="D23" s="488">
        <f>+D24+D25+D26+D27+D28</f>
        <v>0</v>
      </c>
      <c r="E23" s="177">
        <f>+E24+E25+E26+E27+E28</f>
        <v>104901720</v>
      </c>
    </row>
    <row r="24" spans="1:5" s="1" customFormat="1" ht="12" customHeight="1" x14ac:dyDescent="0.25">
      <c r="A24" s="371" t="str">
        <f>'KV_1.1.sz.mell.'!A26</f>
        <v>17</v>
      </c>
      <c r="B24" s="500" t="str">
        <f>'KV_1.1.sz.mell.'!B26</f>
        <v>Felhalmozási célú önkormányzati támogatások</v>
      </c>
      <c r="C24" s="489"/>
      <c r="D24" s="489"/>
      <c r="E24" s="180"/>
    </row>
    <row r="25" spans="1:5" s="1" customFormat="1" ht="12" customHeight="1" x14ac:dyDescent="0.25">
      <c r="A25" s="371" t="str">
        <f>'KV_1.1.sz.mell.'!A27</f>
        <v>18</v>
      </c>
      <c r="B25" s="501" t="str">
        <f>'KV_1.1.sz.mell.'!B27</f>
        <v>Felhalmozási célú garancia- és kezességvállalásból megtérülések</v>
      </c>
      <c r="C25" s="490"/>
      <c r="D25" s="490"/>
      <c r="E25" s="179"/>
    </row>
    <row r="26" spans="1:5" s="1" customFormat="1" ht="12" customHeight="1" x14ac:dyDescent="0.25">
      <c r="A26" s="371" t="str">
        <f>'KV_1.1.sz.mell.'!A28</f>
        <v>19</v>
      </c>
      <c r="B26" s="501" t="str">
        <f>'KV_1.1.sz.mell.'!B28</f>
        <v>Felhalmozási célú visszatérítendő támogatások, kölcsönök visszatérülése</v>
      </c>
      <c r="C26" s="490"/>
      <c r="D26" s="490"/>
      <c r="E26" s="179"/>
    </row>
    <row r="27" spans="1:5" s="1" customFormat="1" ht="12" customHeight="1" x14ac:dyDescent="0.25">
      <c r="A27" s="371" t="str">
        <f>'KV_1.1.sz.mell.'!A29</f>
        <v>20</v>
      </c>
      <c r="B27" s="501" t="str">
        <f>'KV_1.1.sz.mell.'!B29</f>
        <v>Felhalmozási célú visszatérítendő támogatások, kölcsönök igénybevétele</v>
      </c>
      <c r="C27" s="490"/>
      <c r="D27" s="490"/>
      <c r="E27" s="179"/>
    </row>
    <row r="28" spans="1:5" s="1" customFormat="1" ht="12" customHeight="1" x14ac:dyDescent="0.25">
      <c r="A28" s="371" t="str">
        <f>'KV_1.1.sz.mell.'!A30</f>
        <v>21</v>
      </c>
      <c r="B28" s="501" t="str">
        <f>'KV_1.1.sz.mell.'!B30</f>
        <v>Egyéb felhalmozási célú támogatások bevételei</v>
      </c>
      <c r="C28" s="490"/>
      <c r="D28" s="490"/>
      <c r="E28" s="179">
        <v>104901720</v>
      </c>
    </row>
    <row r="29" spans="1:5" s="1" customFormat="1" ht="12" customHeight="1" thickBot="1" x14ac:dyDescent="0.3">
      <c r="A29" s="371" t="str">
        <f>'KV_1.1.sz.mell.'!A31</f>
        <v>22</v>
      </c>
      <c r="B29" s="502" t="str">
        <f>'KV_1.1.sz.mell.'!B31</f>
        <v xml:space="preserve">   21-ből EU-s támogatás</v>
      </c>
      <c r="C29" s="491"/>
      <c r="D29" s="491"/>
      <c r="E29" s="179">
        <v>104901720</v>
      </c>
    </row>
    <row r="30" spans="1:5" s="1" customFormat="1" ht="12" customHeight="1" thickBot="1" x14ac:dyDescent="0.3">
      <c r="A30" s="374">
        <f>'KV_1.1.sz.mell.'!A32</f>
        <v>23</v>
      </c>
      <c r="B30" s="499" t="str">
        <f>'KV_1.1.sz.mell.'!B32</f>
        <v>Közhatalmi bevételek (24+…+30)</v>
      </c>
      <c r="C30" s="492">
        <f>SUM(C31:C37)</f>
        <v>48688019</v>
      </c>
      <c r="D30" s="492">
        <f>SUM(D31:D37)</f>
        <v>52538693</v>
      </c>
      <c r="E30" s="183">
        <f>SUM(E31:E37)</f>
        <v>52800000</v>
      </c>
    </row>
    <row r="31" spans="1:5" s="1" customFormat="1" ht="12" customHeight="1" x14ac:dyDescent="0.25">
      <c r="A31" s="371" t="str">
        <f>'KV_1.1.sz.mell.'!A33</f>
        <v>24</v>
      </c>
      <c r="B31" s="500" t="str">
        <f>'KV_1.1.sz.mell.'!B33</f>
        <v>Építményadó</v>
      </c>
      <c r="C31" s="489">
        <v>219280</v>
      </c>
      <c r="D31" s="489">
        <v>210547</v>
      </c>
      <c r="E31" s="180">
        <v>200000</v>
      </c>
    </row>
    <row r="32" spans="1:5" s="1" customFormat="1" ht="12" customHeight="1" x14ac:dyDescent="0.25">
      <c r="A32" s="371" t="str">
        <f>'KV_1.1.sz.mell.'!A34</f>
        <v>25</v>
      </c>
      <c r="B32" s="500" t="str">
        <f>'KV_1.1.sz.mell.'!B34</f>
        <v>Magánszemélyek kommunális adója</v>
      </c>
      <c r="C32" s="490">
        <v>2986613</v>
      </c>
      <c r="D32" s="490">
        <v>2794901</v>
      </c>
      <c r="E32" s="179">
        <v>2500000</v>
      </c>
    </row>
    <row r="33" spans="1:5" s="1" customFormat="1" ht="12" customHeight="1" x14ac:dyDescent="0.25">
      <c r="A33" s="371" t="str">
        <f>'KV_1.1.sz.mell.'!A35</f>
        <v>26</v>
      </c>
      <c r="B33" s="500" t="str">
        <f>'KV_1.1.sz.mell.'!B35</f>
        <v>Iparűzési adó</v>
      </c>
      <c r="C33" s="490">
        <v>45186642</v>
      </c>
      <c r="D33" s="490">
        <v>49251148</v>
      </c>
      <c r="E33" s="179">
        <v>50000000</v>
      </c>
    </row>
    <row r="34" spans="1:5" s="1" customFormat="1" ht="12" customHeight="1" x14ac:dyDescent="0.25">
      <c r="A34" s="371" t="str">
        <f>'KV_1.1.sz.mell.'!A36</f>
        <v>27</v>
      </c>
      <c r="B34" s="500" t="str">
        <f>'KV_1.1.sz.mell.'!B36</f>
        <v xml:space="preserve">Talajterhelési díj </v>
      </c>
      <c r="C34" s="490"/>
      <c r="D34" s="490"/>
      <c r="E34" s="179"/>
    </row>
    <row r="35" spans="1:5" s="1" customFormat="1" ht="12" customHeight="1" x14ac:dyDescent="0.25">
      <c r="A35" s="371" t="str">
        <f>'KV_1.1.sz.mell.'!A37</f>
        <v>28</v>
      </c>
      <c r="B35" s="500" t="str">
        <f>'KV_1.1.sz.mell.'!B37</f>
        <v>Gépjárműadó</v>
      </c>
      <c r="C35" s="490"/>
      <c r="D35" s="490"/>
      <c r="E35" s="179"/>
    </row>
    <row r="36" spans="1:5" s="1" customFormat="1" ht="12" customHeight="1" x14ac:dyDescent="0.25">
      <c r="A36" s="371" t="str">
        <f>'KV_1.1.sz.mell.'!A38</f>
        <v>29</v>
      </c>
      <c r="B36" s="500" t="str">
        <f>'KV_1.1.sz.mell.'!B38</f>
        <v>Telekadó</v>
      </c>
      <c r="C36" s="490"/>
      <c r="D36" s="490"/>
      <c r="E36" s="179"/>
    </row>
    <row r="37" spans="1:5" s="1" customFormat="1" ht="12" customHeight="1" thickBot="1" x14ac:dyDescent="0.3">
      <c r="A37" s="371" t="str">
        <f>'KV_1.1.sz.mell.'!A39</f>
        <v>30</v>
      </c>
      <c r="B37" s="500" t="str">
        <f>'KV_1.1.sz.mell.'!B39</f>
        <v>Egyéb közhatalmi bevételek</v>
      </c>
      <c r="C37" s="491">
        <v>295484</v>
      </c>
      <c r="D37" s="491">
        <v>282097</v>
      </c>
      <c r="E37" s="181">
        <v>100000</v>
      </c>
    </row>
    <row r="38" spans="1:5" s="1" customFormat="1" ht="12" customHeight="1" thickBot="1" x14ac:dyDescent="0.3">
      <c r="A38" s="374">
        <f>'KV_1.1.sz.mell.'!A40</f>
        <v>31</v>
      </c>
      <c r="B38" s="499" t="str">
        <f>'KV_1.1.sz.mell.'!B40</f>
        <v>Működési bevételek (32+…+ 42)</v>
      </c>
      <c r="C38" s="488">
        <f>SUM(C39:C49)</f>
        <v>8920060</v>
      </c>
      <c r="D38" s="488">
        <f>SUM(D39:D49)</f>
        <v>5418596</v>
      </c>
      <c r="E38" s="177">
        <f>SUM(E39:E49)</f>
        <v>5626000</v>
      </c>
    </row>
    <row r="39" spans="1:5" s="1" customFormat="1" ht="12" customHeight="1" x14ac:dyDescent="0.25">
      <c r="A39" s="371" t="str">
        <f>'KV_1.1.sz.mell.'!A41</f>
        <v>32</v>
      </c>
      <c r="B39" s="500" t="str">
        <f>'KV_1.1.sz.mell.'!B41</f>
        <v>Készletértékesítés ellenértéke</v>
      </c>
      <c r="C39" s="489"/>
      <c r="D39" s="489"/>
      <c r="E39" s="180"/>
    </row>
    <row r="40" spans="1:5" s="1" customFormat="1" ht="12" customHeight="1" x14ac:dyDescent="0.25">
      <c r="A40" s="371" t="str">
        <f>'KV_1.1.sz.mell.'!A42</f>
        <v>33</v>
      </c>
      <c r="B40" s="501" t="str">
        <f>'KV_1.1.sz.mell.'!B42</f>
        <v>Szolgáltatások ellenértéke</v>
      </c>
      <c r="C40" s="490">
        <v>1581106</v>
      </c>
      <c r="D40" s="490">
        <v>824558</v>
      </c>
      <c r="E40" s="179">
        <v>1000000</v>
      </c>
    </row>
    <row r="41" spans="1:5" s="1" customFormat="1" ht="12" customHeight="1" x14ac:dyDescent="0.25">
      <c r="A41" s="371" t="str">
        <f>'KV_1.1.sz.mell.'!A43</f>
        <v>34</v>
      </c>
      <c r="B41" s="501" t="str">
        <f>'KV_1.1.sz.mell.'!B43</f>
        <v>Közvetített szolgáltatások értéke</v>
      </c>
      <c r="C41" s="490">
        <v>25453</v>
      </c>
      <c r="D41" s="490">
        <v>6156</v>
      </c>
      <c r="E41" s="179">
        <v>20000</v>
      </c>
    </row>
    <row r="42" spans="1:5" s="1" customFormat="1" ht="12" customHeight="1" x14ac:dyDescent="0.25">
      <c r="A42" s="371" t="str">
        <f>'KV_1.1.sz.mell.'!A44</f>
        <v>35</v>
      </c>
      <c r="B42" s="501" t="str">
        <f>'KV_1.1.sz.mell.'!B44</f>
        <v>Tulajdonosi bevételek</v>
      </c>
      <c r="C42" s="490">
        <v>1376680</v>
      </c>
      <c r="D42" s="490">
        <v>2646836</v>
      </c>
      <c r="E42" s="179">
        <v>3000000</v>
      </c>
    </row>
    <row r="43" spans="1:5" s="1" customFormat="1" ht="12" customHeight="1" x14ac:dyDescent="0.25">
      <c r="A43" s="371" t="str">
        <f>'KV_1.1.sz.mell.'!A45</f>
        <v>36</v>
      </c>
      <c r="B43" s="501" t="str">
        <f>'KV_1.1.sz.mell.'!B45</f>
        <v>Ellátási díjak</v>
      </c>
      <c r="C43" s="490">
        <v>1171843</v>
      </c>
      <c r="D43" s="490">
        <v>986099</v>
      </c>
      <c r="E43" s="179">
        <v>900000</v>
      </c>
    </row>
    <row r="44" spans="1:5" s="1" customFormat="1" ht="12" customHeight="1" x14ac:dyDescent="0.25">
      <c r="A44" s="371" t="str">
        <f>'KV_1.1.sz.mell.'!A46</f>
        <v>37</v>
      </c>
      <c r="B44" s="501" t="str">
        <f>'KV_1.1.sz.mell.'!B46</f>
        <v xml:space="preserve">Kiszámlázott általános forgalmi adó </v>
      </c>
      <c r="C44" s="490">
        <v>399643</v>
      </c>
      <c r="D44" s="490">
        <v>287390</v>
      </c>
      <c r="E44" s="179">
        <v>266000</v>
      </c>
    </row>
    <row r="45" spans="1:5" s="1" customFormat="1" ht="12" customHeight="1" x14ac:dyDescent="0.25">
      <c r="A45" s="371" t="str">
        <f>'KV_1.1.sz.mell.'!A47</f>
        <v>38</v>
      </c>
      <c r="B45" s="501" t="str">
        <f>'KV_1.1.sz.mell.'!B47</f>
        <v>Általános forgalmi adó visszatérítése</v>
      </c>
      <c r="C45" s="490">
        <v>945788</v>
      </c>
      <c r="D45" s="490">
        <v>274818</v>
      </c>
      <c r="E45" s="179">
        <v>440000</v>
      </c>
    </row>
    <row r="46" spans="1:5" s="1" customFormat="1" ht="12" customHeight="1" x14ac:dyDescent="0.25">
      <c r="A46" s="371" t="str">
        <f>'KV_1.1.sz.mell.'!A48</f>
        <v>39</v>
      </c>
      <c r="B46" s="501" t="str">
        <f>'KV_1.1.sz.mell.'!B48</f>
        <v>Kamatbevételek és más nyereségjellegű bevételek</v>
      </c>
      <c r="C46" s="490"/>
      <c r="D46" s="490"/>
      <c r="E46" s="179"/>
    </row>
    <row r="47" spans="1:5" s="1" customFormat="1" ht="12" customHeight="1" x14ac:dyDescent="0.25">
      <c r="A47" s="371" t="str">
        <f>'KV_1.1.sz.mell.'!A49</f>
        <v>40</v>
      </c>
      <c r="B47" s="501" t="str">
        <f>'KV_1.1.sz.mell.'!B49</f>
        <v>Egyéb pénzügyi műveletek bevételei</v>
      </c>
      <c r="C47" s="493"/>
      <c r="D47" s="493"/>
      <c r="E47" s="182"/>
    </row>
    <row r="48" spans="1:5" s="1" customFormat="1" ht="12" customHeight="1" x14ac:dyDescent="0.25">
      <c r="A48" s="371" t="str">
        <f>'KV_1.1.sz.mell.'!A50</f>
        <v>41</v>
      </c>
      <c r="B48" s="502" t="str">
        <f>'KV_1.1.sz.mell.'!B50</f>
        <v>Biztosító által fizetett kártérítés</v>
      </c>
      <c r="C48" s="494">
        <v>2390904</v>
      </c>
      <c r="D48" s="494"/>
      <c r="E48" s="222"/>
    </row>
    <row r="49" spans="1:5" s="1" customFormat="1" ht="12" customHeight="1" thickBot="1" x14ac:dyDescent="0.3">
      <c r="A49" s="371" t="str">
        <f>'KV_1.1.sz.mell.'!A51</f>
        <v>42</v>
      </c>
      <c r="B49" s="502" t="str">
        <f>'KV_1.1.sz.mell.'!B51</f>
        <v>Egyéb működési bevételek</v>
      </c>
      <c r="C49" s="494">
        <v>1028643</v>
      </c>
      <c r="D49" s="494">
        <v>392739</v>
      </c>
      <c r="E49" s="222"/>
    </row>
    <row r="50" spans="1:5" s="1" customFormat="1" ht="12" customHeight="1" thickBot="1" x14ac:dyDescent="0.3">
      <c r="A50" s="374">
        <f>'KV_1.1.sz.mell.'!A52</f>
        <v>43</v>
      </c>
      <c r="B50" s="499" t="str">
        <f>'KV_1.1.sz.mell.'!B52</f>
        <v>Felhalmozási bevételek (44+…+48)</v>
      </c>
      <c r="C50" s="488">
        <f>SUM(C51:C55)</f>
        <v>0</v>
      </c>
      <c r="D50" s="488">
        <f>SUM(D51:D55)</f>
        <v>103240</v>
      </c>
      <c r="E50" s="177">
        <f>SUM(E51:E55)</f>
        <v>0</v>
      </c>
    </row>
    <row r="51" spans="1:5" s="1" customFormat="1" ht="12" customHeight="1" x14ac:dyDescent="0.25">
      <c r="A51" s="371" t="str">
        <f>'KV_1.1.sz.mell.'!A53</f>
        <v>44</v>
      </c>
      <c r="B51" s="500" t="str">
        <f>'KV_1.1.sz.mell.'!B53</f>
        <v>Immateriális javak értékesítése</v>
      </c>
      <c r="C51" s="495"/>
      <c r="D51" s="495"/>
      <c r="E51" s="228"/>
    </row>
    <row r="52" spans="1:5" s="1" customFormat="1" ht="12" customHeight="1" x14ac:dyDescent="0.25">
      <c r="A52" s="371" t="str">
        <f>'KV_1.1.sz.mell.'!A54</f>
        <v>45</v>
      </c>
      <c r="B52" s="501" t="str">
        <f>'KV_1.1.sz.mell.'!B54</f>
        <v>Ingatlanok értékesítése</v>
      </c>
      <c r="C52" s="493"/>
      <c r="D52" s="493">
        <v>103240</v>
      </c>
      <c r="E52" s="182"/>
    </row>
    <row r="53" spans="1:5" s="1" customFormat="1" ht="12" customHeight="1" x14ac:dyDescent="0.25">
      <c r="A53" s="371" t="str">
        <f>'KV_1.1.sz.mell.'!A55</f>
        <v>46</v>
      </c>
      <c r="B53" s="501" t="str">
        <f>'KV_1.1.sz.mell.'!B55</f>
        <v>Egyéb tárgyi eszközök értékesítése</v>
      </c>
      <c r="C53" s="493"/>
      <c r="D53" s="493"/>
      <c r="E53" s="182"/>
    </row>
    <row r="54" spans="1:5" s="1" customFormat="1" ht="12" customHeight="1" x14ac:dyDescent="0.25">
      <c r="A54" s="371" t="str">
        <f>'KV_1.1.sz.mell.'!A56</f>
        <v>47</v>
      </c>
      <c r="B54" s="501" t="str">
        <f>'KV_1.1.sz.mell.'!B56</f>
        <v>Részesedések értékesítése</v>
      </c>
      <c r="C54" s="493"/>
      <c r="D54" s="493"/>
      <c r="E54" s="182"/>
    </row>
    <row r="55" spans="1:5" s="1" customFormat="1" ht="12" customHeight="1" thickBot="1" x14ac:dyDescent="0.3">
      <c r="A55" s="371" t="str">
        <f>'KV_1.1.sz.mell.'!A57</f>
        <v>48</v>
      </c>
      <c r="B55" s="502" t="str">
        <f>'KV_1.1.sz.mell.'!B57</f>
        <v>Részesedések megszűnéséhez kapcsolódó bevételek</v>
      </c>
      <c r="C55" s="494"/>
      <c r="D55" s="494"/>
      <c r="E55" s="222"/>
    </row>
    <row r="56" spans="1:5" s="1" customFormat="1" ht="12" customHeight="1" thickBot="1" x14ac:dyDescent="0.3">
      <c r="A56" s="374">
        <f>'KV_1.1.sz.mell.'!A58</f>
        <v>49</v>
      </c>
      <c r="B56" s="499" t="str">
        <f>'KV_1.1.sz.mell.'!B58</f>
        <v>Működési célú átvett pénzeszközök (50+ … + 52)</v>
      </c>
      <c r="C56" s="488">
        <f>SUM(C57:C59)</f>
        <v>555000</v>
      </c>
      <c r="D56" s="488">
        <f>SUM(D57:D59)</f>
        <v>540000</v>
      </c>
      <c r="E56" s="177">
        <f>SUM(E57:E59)</f>
        <v>0</v>
      </c>
    </row>
    <row r="57" spans="1:5" s="1" customFormat="1" ht="12" customHeight="1" x14ac:dyDescent="0.25">
      <c r="A57" s="371" t="str">
        <f>'KV_1.1.sz.mell.'!A59</f>
        <v>50</v>
      </c>
      <c r="B57" s="500" t="str">
        <f>'KV_1.1.sz.mell.'!B59</f>
        <v>Működési célú garancia- és kezességvállalásból megtérülések ÁH-n kívülről</v>
      </c>
      <c r="C57" s="489"/>
      <c r="D57" s="489"/>
      <c r="E57" s="180"/>
    </row>
    <row r="58" spans="1:5" s="1" customFormat="1" ht="12" customHeight="1" x14ac:dyDescent="0.25">
      <c r="A58" s="371" t="str">
        <f>'KV_1.1.sz.mell.'!A60</f>
        <v>51</v>
      </c>
      <c r="B58" s="501" t="str">
        <f>'KV_1.1.sz.mell.'!B60</f>
        <v>Működési célú visszatérítendő támogatások, kölcsönök visszatér. ÁH-n kívülről</v>
      </c>
      <c r="C58" s="490"/>
      <c r="D58" s="490"/>
      <c r="E58" s="179"/>
    </row>
    <row r="59" spans="1:5" s="1" customFormat="1" ht="12" customHeight="1" x14ac:dyDescent="0.25">
      <c r="A59" s="371" t="str">
        <f>'KV_1.1.sz.mell.'!A61</f>
        <v>52</v>
      </c>
      <c r="B59" s="501" t="str">
        <f>'KV_1.1.sz.mell.'!B61</f>
        <v>Egyéb működési célú átvett pénzeszköz</v>
      </c>
      <c r="C59" s="490">
        <v>555000</v>
      </c>
      <c r="D59" s="490">
        <v>540000</v>
      </c>
      <c r="E59" s="179"/>
    </row>
    <row r="60" spans="1:5" s="1" customFormat="1" ht="12" customHeight="1" thickBot="1" x14ac:dyDescent="0.3">
      <c r="A60" s="371" t="str">
        <f>'KV_1.1.sz.mell.'!A62</f>
        <v>53</v>
      </c>
      <c r="B60" s="502" t="str">
        <f>'KV_1.1.sz.mell.'!B62</f>
        <v xml:space="preserve">  52-ből EU-s támogatás (közvetlen)</v>
      </c>
      <c r="C60" s="491"/>
      <c r="D60" s="491"/>
      <c r="E60" s="181"/>
    </row>
    <row r="61" spans="1:5" s="1" customFormat="1" ht="12" customHeight="1" thickBot="1" x14ac:dyDescent="0.3">
      <c r="A61" s="374">
        <f>'KV_1.1.sz.mell.'!A63</f>
        <v>54</v>
      </c>
      <c r="B61" s="505" t="str">
        <f>'KV_1.1.sz.mell.'!B63</f>
        <v>Felhalmozási célú átvett pénzeszközök (55+…+57)</v>
      </c>
      <c r="C61" s="488">
        <f>SUM(C62:C64)</f>
        <v>0</v>
      </c>
      <c r="D61" s="488">
        <f>SUM(D62:D64)</f>
        <v>0</v>
      </c>
      <c r="E61" s="177">
        <f>SUM(E62:E64)</f>
        <v>0</v>
      </c>
    </row>
    <row r="62" spans="1:5" s="1" customFormat="1" ht="12" customHeight="1" x14ac:dyDescent="0.25">
      <c r="A62" s="371" t="str">
        <f>'KV_1.1.sz.mell.'!A64</f>
        <v>55</v>
      </c>
      <c r="B62" s="500" t="str">
        <f>'KV_1.1.sz.mell.'!B64</f>
        <v>Felhalm. célú garancia- és kezességvállalásból megtérülések ÁH-n kívülről</v>
      </c>
      <c r="C62" s="493"/>
      <c r="D62" s="493"/>
      <c r="E62" s="182"/>
    </row>
    <row r="63" spans="1:5" s="1" customFormat="1" ht="12" customHeight="1" x14ac:dyDescent="0.25">
      <c r="A63" s="371" t="str">
        <f>'KV_1.1.sz.mell.'!A65</f>
        <v>56</v>
      </c>
      <c r="B63" s="501" t="str">
        <f>'KV_1.1.sz.mell.'!B65</f>
        <v>Felhalm. célú visszatérítendő támogatások, kölcsönök visszatér. ÁH-n kívülről</v>
      </c>
      <c r="C63" s="493"/>
      <c r="D63" s="493"/>
      <c r="E63" s="182"/>
    </row>
    <row r="64" spans="1:5" s="1" customFormat="1" ht="12" customHeight="1" x14ac:dyDescent="0.25">
      <c r="A64" s="371" t="str">
        <f>'KV_1.1.sz.mell.'!A66</f>
        <v>57</v>
      </c>
      <c r="B64" s="501" t="str">
        <f>'KV_1.1.sz.mell.'!B66</f>
        <v>Egyéb felhalmozási célú átvett pénzeszköz</v>
      </c>
      <c r="C64" s="493"/>
      <c r="D64" s="493"/>
      <c r="E64" s="182"/>
    </row>
    <row r="65" spans="1:7" s="1" customFormat="1" ht="12" customHeight="1" thickBot="1" x14ac:dyDescent="0.3">
      <c r="A65" s="371" t="str">
        <f>'KV_1.1.sz.mell.'!A67</f>
        <v>58</v>
      </c>
      <c r="B65" s="502" t="str">
        <f>'KV_1.1.sz.mell.'!B67</f>
        <v xml:space="preserve">  57-ből EU-s támogatás (közvetlen)</v>
      </c>
      <c r="C65" s="493"/>
      <c r="D65" s="493"/>
      <c r="E65" s="182"/>
    </row>
    <row r="66" spans="1:7" s="1" customFormat="1" ht="12" customHeight="1" thickBot="1" x14ac:dyDescent="0.3">
      <c r="A66" s="374">
        <f>'KV_1.1.sz.mell.'!A68</f>
        <v>59</v>
      </c>
      <c r="B66" s="499" t="str">
        <f>'KV_1.1.sz.mell.'!B68</f>
        <v>KÖLTSÉGVETÉSI BEVÉTELEK ÖSSZESEN: (1+16+23+31+43+49+54)</v>
      </c>
      <c r="C66" s="492">
        <f>+C8+C23+C30+C38+C50+C56+C61</f>
        <v>99614750</v>
      </c>
      <c r="D66" s="492">
        <f>+D8+D23+D30+D38+D50+D56+D61</f>
        <v>94596324</v>
      </c>
      <c r="E66" s="183">
        <f>+E8+E23+E30+E38+E50+E56+E61</f>
        <v>191630632</v>
      </c>
    </row>
    <row r="67" spans="1:7" s="1" customFormat="1" ht="12" customHeight="1" thickBot="1" x14ac:dyDescent="0.3">
      <c r="A67" s="375">
        <f>'KV_1.1.sz.mell.'!A69</f>
        <v>60</v>
      </c>
      <c r="B67" s="505" t="str">
        <f>'KV_1.1.sz.mell.'!B69</f>
        <v>Hitel-, kölcsönfelvétel államháztartáson kívülről  (61+…+63)</v>
      </c>
      <c r="C67" s="488">
        <f>SUM(C68:C70)</f>
        <v>0</v>
      </c>
      <c r="D67" s="488">
        <f>SUM(D68:D70)</f>
        <v>0</v>
      </c>
      <c r="E67" s="177">
        <f>SUM(E68:E70)</f>
        <v>0</v>
      </c>
    </row>
    <row r="68" spans="1:7" s="1" customFormat="1" ht="12" customHeight="1" x14ac:dyDescent="0.25">
      <c r="A68" s="371" t="str">
        <f>'KV_1.1.sz.mell.'!A70</f>
        <v>61</v>
      </c>
      <c r="B68" s="500" t="str">
        <f>'KV_1.1.sz.mell.'!B70</f>
        <v>Hosszú lejáratú  hitelek, kölcsönök felvétele</v>
      </c>
      <c r="C68" s="493"/>
      <c r="D68" s="493"/>
      <c r="E68" s="182"/>
    </row>
    <row r="69" spans="1:7" s="1" customFormat="1" ht="12" customHeight="1" x14ac:dyDescent="0.25">
      <c r="A69" s="371" t="str">
        <f>'KV_1.1.sz.mell.'!A71</f>
        <v>62</v>
      </c>
      <c r="B69" s="501" t="str">
        <f>'KV_1.1.sz.mell.'!B71</f>
        <v>Likviditási célú  hitelek, kölcsönök felvétele pénzügyi vállalkozástól</v>
      </c>
      <c r="C69" s="493"/>
      <c r="D69" s="493"/>
      <c r="E69" s="182"/>
    </row>
    <row r="70" spans="1:7" s="1" customFormat="1" ht="12" customHeight="1" thickBot="1" x14ac:dyDescent="0.3">
      <c r="A70" s="371" t="str">
        <f>'KV_1.1.sz.mell.'!A72</f>
        <v>63</v>
      </c>
      <c r="B70" s="506" t="str">
        <f>'KV_1.1.sz.mell.'!B72</f>
        <v>Rövid lejáratú  hitelek, kölcsönök felvétele pénzügyi vállalkozástól</v>
      </c>
      <c r="C70" s="493"/>
      <c r="D70" s="493"/>
      <c r="E70" s="182"/>
    </row>
    <row r="71" spans="1:7" s="1" customFormat="1" ht="12" customHeight="1" thickBot="1" x14ac:dyDescent="0.3">
      <c r="A71" s="375">
        <f>'KV_1.1.sz.mell.'!A73</f>
        <v>64</v>
      </c>
      <c r="B71" s="505" t="str">
        <f>'KV_1.1.sz.mell.'!B73</f>
        <v>Belföldi értékpapírok bevételei (65 +…+ 68)</v>
      </c>
      <c r="C71" s="488">
        <f>SUM(C72:C75)</f>
        <v>0</v>
      </c>
      <c r="D71" s="488">
        <f>SUM(D72:D75)</f>
        <v>0</v>
      </c>
      <c r="E71" s="177">
        <f>SUM(E72:E75)</f>
        <v>0</v>
      </c>
    </row>
    <row r="72" spans="1:7" s="1" customFormat="1" ht="12" customHeight="1" x14ac:dyDescent="0.25">
      <c r="A72" s="371" t="str">
        <f>'KV_1.1.sz.mell.'!A74</f>
        <v>65</v>
      </c>
      <c r="B72" s="500" t="str">
        <f>'KV_1.1.sz.mell.'!B74</f>
        <v>Forgatási célú belföldi értékpapírok beváltása,  értékesítése</v>
      </c>
      <c r="C72" s="493"/>
      <c r="D72" s="493"/>
      <c r="E72" s="182"/>
    </row>
    <row r="73" spans="1:7" s="1" customFormat="1" ht="13.5" customHeight="1" x14ac:dyDescent="0.3">
      <c r="A73" s="371" t="str">
        <f>'KV_1.1.sz.mell.'!A75</f>
        <v>66</v>
      </c>
      <c r="B73" s="501" t="str">
        <f>'KV_1.1.sz.mell.'!B75</f>
        <v>Éven belüli lejáratú belföldi értékpapírok kibocsátása</v>
      </c>
      <c r="C73" s="493"/>
      <c r="D73" s="493"/>
      <c r="E73" s="182"/>
      <c r="G73" s="17"/>
    </row>
    <row r="74" spans="1:7" s="1" customFormat="1" ht="12" customHeight="1" x14ac:dyDescent="0.25">
      <c r="A74" s="371" t="str">
        <f>'KV_1.1.sz.mell.'!A76</f>
        <v>67</v>
      </c>
      <c r="B74" s="502" t="str">
        <f>'KV_1.1.sz.mell.'!B76</f>
        <v>Befektetési célú belföldi értékpapírok beváltása,  értékesítése</v>
      </c>
      <c r="C74" s="493"/>
      <c r="D74" s="493"/>
      <c r="E74" s="222"/>
    </row>
    <row r="75" spans="1:7" s="1" customFormat="1" ht="12" customHeight="1" thickBot="1" x14ac:dyDescent="0.3">
      <c r="A75" s="371" t="str">
        <f>'KV_1.1.sz.mell.'!A77</f>
        <v>68</v>
      </c>
      <c r="B75" s="507" t="str">
        <f>'KV_1.1.sz.mell.'!B77</f>
        <v>Éven túli lejáratú belföldi értékpapírok kibocsátása</v>
      </c>
      <c r="C75" s="493"/>
      <c r="D75" s="493"/>
      <c r="E75" s="286"/>
    </row>
    <row r="76" spans="1:7" s="1" customFormat="1" ht="12" customHeight="1" thickBot="1" x14ac:dyDescent="0.3">
      <c r="A76" s="375">
        <f>'KV_1.1.sz.mell.'!A78</f>
        <v>69</v>
      </c>
      <c r="B76" s="505" t="str">
        <f>'KV_1.1.sz.mell.'!B78</f>
        <v>Maradvány igénybevétele (70 + 71)</v>
      </c>
      <c r="C76" s="488">
        <f>SUM(C77:C78)</f>
        <v>548895821</v>
      </c>
      <c r="D76" s="488">
        <f>SUM(D77:D78)</f>
        <v>211157328</v>
      </c>
      <c r="E76" s="177">
        <f>SUM(E77:E78)</f>
        <v>29029186</v>
      </c>
    </row>
    <row r="77" spans="1:7" s="1" customFormat="1" ht="12" customHeight="1" x14ac:dyDescent="0.25">
      <c r="A77" s="371" t="str">
        <f>'KV_1.1.sz.mell.'!A79</f>
        <v>70</v>
      </c>
      <c r="B77" s="508" t="str">
        <f>'KV_1.1.sz.mell.'!B79</f>
        <v>Előző év költségvetési maradványának igénybevétele</v>
      </c>
      <c r="C77" s="493">
        <v>548895821</v>
      </c>
      <c r="D77" s="493">
        <v>211157328</v>
      </c>
      <c r="E77" s="336">
        <v>29029186</v>
      </c>
    </row>
    <row r="78" spans="1:7" s="1" customFormat="1" ht="12" customHeight="1" thickBot="1" x14ac:dyDescent="0.3">
      <c r="A78" s="371" t="str">
        <f>'KV_1.1.sz.mell.'!A80</f>
        <v>71</v>
      </c>
      <c r="B78" s="507" t="str">
        <f>'KV_1.1.sz.mell.'!B80</f>
        <v>Előző év vállalkozási maradványának igénybevétele</v>
      </c>
      <c r="C78" s="493"/>
      <c r="D78" s="493"/>
      <c r="E78" s="286"/>
    </row>
    <row r="79" spans="1:7" s="1" customFormat="1" ht="12" customHeight="1" thickBot="1" x14ac:dyDescent="0.3">
      <c r="A79" s="375">
        <f>'KV_1.1.sz.mell.'!A81</f>
        <v>72</v>
      </c>
      <c r="B79" s="505" t="str">
        <f>'KV_1.1.sz.mell.'!B81</f>
        <v>Belföldi finanszírozás bevételei (73 + … + 75)</v>
      </c>
      <c r="C79" s="488">
        <f>SUM(C80:C82)</f>
        <v>1077349</v>
      </c>
      <c r="D79" s="488">
        <f>SUM(D80:D82)</f>
        <v>795305</v>
      </c>
      <c r="E79" s="177">
        <f>SUM(E80:E82)</f>
        <v>0</v>
      </c>
    </row>
    <row r="80" spans="1:7" s="1" customFormat="1" ht="12" customHeight="1" x14ac:dyDescent="0.25">
      <c r="A80" s="371" t="str">
        <f>'KV_1.1.sz.mell.'!A82</f>
        <v>73</v>
      </c>
      <c r="B80" s="500" t="str">
        <f>'KV_1.1.sz.mell.'!B82</f>
        <v>Államháztartáson belüli megelőlegezések</v>
      </c>
      <c r="C80" s="493">
        <v>1077349</v>
      </c>
      <c r="D80" s="493">
        <v>795305</v>
      </c>
      <c r="E80" s="182"/>
    </row>
    <row r="81" spans="1:5" s="1" customFormat="1" ht="12" customHeight="1" x14ac:dyDescent="0.25">
      <c r="A81" s="371" t="str">
        <f>'KV_1.1.sz.mell.'!A83</f>
        <v>74</v>
      </c>
      <c r="B81" s="501" t="str">
        <f>'KV_1.1.sz.mell.'!B83</f>
        <v>Államháztartáson belüli megelőlegezések törlesztése</v>
      </c>
      <c r="C81" s="493"/>
      <c r="D81" s="493"/>
      <c r="E81" s="182"/>
    </row>
    <row r="82" spans="1:5" s="1" customFormat="1" ht="12" customHeight="1" thickBot="1" x14ac:dyDescent="0.3">
      <c r="A82" s="372" t="str">
        <f>'KV_1.1.sz.mell.'!A84</f>
        <v>75</v>
      </c>
      <c r="B82" s="507" t="str">
        <f>'KV_1.1.sz.mell.'!B84</f>
        <v>Lekötött betétek megszüntetése</v>
      </c>
      <c r="C82" s="493"/>
      <c r="D82" s="493"/>
      <c r="E82" s="286"/>
    </row>
    <row r="83" spans="1:5" s="1" customFormat="1" ht="12" customHeight="1" thickBot="1" x14ac:dyDescent="0.3">
      <c r="A83" s="376" t="str">
        <f>'KV_1.1.sz.mell.'!A85</f>
        <v>76</v>
      </c>
      <c r="B83" s="505" t="str">
        <f>'KV_1.1.sz.mell.'!B85</f>
        <v>Külföldi finanszírozás bevételei (77+…+80)</v>
      </c>
      <c r="C83" s="488">
        <f>SUM(C84:C87)</f>
        <v>0</v>
      </c>
      <c r="D83" s="488">
        <f>SUM(D84:D87)</f>
        <v>0</v>
      </c>
      <c r="E83" s="177">
        <f>SUM(E84:E87)</f>
        <v>0</v>
      </c>
    </row>
    <row r="84" spans="1:5" s="1" customFormat="1" ht="12" customHeight="1" x14ac:dyDescent="0.25">
      <c r="A84" s="371" t="str">
        <f>'KV_1.1.sz.mell.'!A86</f>
        <v>77</v>
      </c>
      <c r="B84" s="500" t="str">
        <f>'KV_1.1.sz.mell.'!B86</f>
        <v>Forgatási célú külföldi értékpapírok beváltása,  értékesítése</v>
      </c>
      <c r="C84" s="493"/>
      <c r="D84" s="493"/>
      <c r="E84" s="182"/>
    </row>
    <row r="85" spans="1:5" s="1" customFormat="1" ht="12" customHeight="1" x14ac:dyDescent="0.25">
      <c r="A85" s="371" t="str">
        <f>'KV_1.1.sz.mell.'!A87</f>
        <v>78</v>
      </c>
      <c r="B85" s="501" t="str">
        <f>'KV_1.1.sz.mell.'!B87</f>
        <v>Befektetési célú külföldi értékpapírok beváltása,  értékesítése</v>
      </c>
      <c r="C85" s="493"/>
      <c r="D85" s="493"/>
      <c r="E85" s="182"/>
    </row>
    <row r="86" spans="1:5" s="1" customFormat="1" ht="12" customHeight="1" x14ac:dyDescent="0.25">
      <c r="A86" s="371" t="str">
        <f>'KV_1.1.sz.mell.'!A88</f>
        <v>79</v>
      </c>
      <c r="B86" s="501" t="str">
        <f>'KV_1.1.sz.mell.'!B88</f>
        <v>Külföldi értékpapírok kibocsátása</v>
      </c>
      <c r="C86" s="493"/>
      <c r="D86" s="493"/>
      <c r="E86" s="182"/>
    </row>
    <row r="87" spans="1:5" s="1" customFormat="1" ht="12" customHeight="1" thickBot="1" x14ac:dyDescent="0.3">
      <c r="A87" s="372" t="str">
        <f>'KV_1.1.sz.mell.'!A89</f>
        <v>80</v>
      </c>
      <c r="B87" s="502" t="str">
        <f>'KV_1.1.sz.mell.'!B89</f>
        <v>Külföldi hitelek, kölcsönök felvétele</v>
      </c>
      <c r="C87" s="493"/>
      <c r="D87" s="493"/>
      <c r="E87" s="182"/>
    </row>
    <row r="88" spans="1:5" s="1" customFormat="1" ht="12" customHeight="1" thickBot="1" x14ac:dyDescent="0.3">
      <c r="A88" s="376" t="str">
        <f>'KV_1.1.sz.mell.'!A90</f>
        <v>81</v>
      </c>
      <c r="B88" s="505" t="str">
        <f>'KV_1.1.sz.mell.'!B90</f>
        <v>Váltóbevételek</v>
      </c>
      <c r="C88" s="496"/>
      <c r="D88" s="496"/>
      <c r="E88" s="230"/>
    </row>
    <row r="89" spans="1:5" s="1" customFormat="1" ht="12" customHeight="1" thickBot="1" x14ac:dyDescent="0.3">
      <c r="A89" s="377" t="str">
        <f>'KV_1.1.sz.mell.'!A91</f>
        <v>82</v>
      </c>
      <c r="B89" s="505" t="str">
        <f>'KV_1.1.sz.mell.'!B91</f>
        <v>Adóssághoz nem kapcsolódó származékos ügyletek bevételei</v>
      </c>
      <c r="C89" s="496"/>
      <c r="D89" s="496"/>
      <c r="E89" s="230"/>
    </row>
    <row r="90" spans="1:5" s="1" customFormat="1" ht="12" customHeight="1" thickBot="1" x14ac:dyDescent="0.3">
      <c r="A90" s="376" t="str">
        <f>'KV_1.1.sz.mell.'!A92</f>
        <v>83</v>
      </c>
      <c r="B90" s="509" t="str">
        <f>'KV_1.1.sz.mell.'!B92</f>
        <v>FINANSZÍROZÁSI BEVÉTELEK ÖSSZESEN: (60 + 64+69+72+76+81+82)</v>
      </c>
      <c r="C90" s="492">
        <f>+C67+C71+C76+C79+C83+C89+C88</f>
        <v>549973170</v>
      </c>
      <c r="D90" s="492">
        <f>+D67+D71+D76+D79+D83+D89+D88</f>
        <v>211952633</v>
      </c>
      <c r="E90" s="226">
        <f>+E67+E71+E76+E79+E83+E88+E89</f>
        <v>29029186</v>
      </c>
    </row>
    <row r="91" spans="1:5" s="1" customFormat="1" ht="12" customHeight="1" thickBot="1" x14ac:dyDescent="0.3">
      <c r="A91" s="387" t="str">
        <f>'KV_1.1.sz.mell.'!A93</f>
        <v>84</v>
      </c>
      <c r="B91" s="510" t="str">
        <f>'KV_1.1.sz.mell.'!B93</f>
        <v>KÖLTSÉGVETÉSI ÉS FINANSZÍROZÁSI BEVÉTELEK ÖSSZESEN: (59+83)</v>
      </c>
      <c r="C91" s="492">
        <f>+C66+C90</f>
        <v>649587920</v>
      </c>
      <c r="D91" s="492">
        <f>+D66+D90</f>
        <v>306548957</v>
      </c>
      <c r="E91" s="226">
        <f>+E66+E90</f>
        <v>220659818</v>
      </c>
    </row>
    <row r="92" spans="1:5" s="1" customFormat="1" ht="12" customHeight="1" x14ac:dyDescent="0.25">
      <c r="A92" s="409"/>
      <c r="B92" s="212"/>
      <c r="C92" s="398"/>
      <c r="D92" s="399"/>
      <c r="E92" s="400"/>
    </row>
    <row r="93" spans="1:5" s="1" customFormat="1" ht="12" customHeight="1" x14ac:dyDescent="0.25">
      <c r="A93" s="674" t="s">
        <v>43</v>
      </c>
      <c r="B93" s="674"/>
      <c r="C93" s="674"/>
      <c r="D93" s="674"/>
      <c r="E93" s="674"/>
    </row>
    <row r="94" spans="1:5" s="1" customFormat="1" ht="12" customHeight="1" thickBot="1" x14ac:dyDescent="0.3">
      <c r="A94" s="672"/>
      <c r="B94" s="672"/>
      <c r="C94" s="390"/>
      <c r="D94" s="88"/>
      <c r="E94" s="187" t="str">
        <f>E5</f>
        <v>Forintban</v>
      </c>
    </row>
    <row r="95" spans="1:5" s="1" customFormat="1" ht="24" customHeight="1" thickBot="1" x14ac:dyDescent="0.3">
      <c r="A95" s="408" t="s">
        <v>14</v>
      </c>
      <c r="B95" s="5" t="s">
        <v>44</v>
      </c>
      <c r="C95" s="5" t="str">
        <f>+C6</f>
        <v>2023. évi tény</v>
      </c>
      <c r="D95" s="5" t="str">
        <f>+D6</f>
        <v>2024. évi várható</v>
      </c>
      <c r="E95" s="101" t="str">
        <f>+E6</f>
        <v>2025. évi előirányzat</v>
      </c>
    </row>
    <row r="96" spans="1:5" s="1" customFormat="1" ht="12" customHeight="1" thickBot="1" x14ac:dyDescent="0.3">
      <c r="A96" s="374" t="s">
        <v>281</v>
      </c>
      <c r="B96" s="11" t="s">
        <v>282</v>
      </c>
      <c r="C96" s="11" t="s">
        <v>283</v>
      </c>
      <c r="D96" s="11" t="s">
        <v>285</v>
      </c>
      <c r="E96" s="227" t="s">
        <v>284</v>
      </c>
    </row>
    <row r="97" spans="1:5" s="1" customFormat="1" ht="15.15" customHeight="1" thickBot="1" x14ac:dyDescent="0.3">
      <c r="A97" s="376">
        <f>'KV_1.1.sz.mell.'!A99</f>
        <v>1</v>
      </c>
      <c r="B97" s="9" t="str">
        <f>'KV_1.1.sz.mell.'!B99</f>
        <v xml:space="preserve">   Működési költségvetés kiadásai (2+…+6)</v>
      </c>
      <c r="C97" s="378">
        <f>C98+C99+C100+C101+C102+C115</f>
        <v>153856128</v>
      </c>
      <c r="D97" s="378">
        <f>D98+D99+D100+D101+D102+D115</f>
        <v>146937312</v>
      </c>
      <c r="E97" s="176">
        <f>E98+E99+E100+E101+E102</f>
        <v>95148582</v>
      </c>
    </row>
    <row r="98" spans="1:5" s="1" customFormat="1" ht="12.9" customHeight="1" x14ac:dyDescent="0.25">
      <c r="A98" s="373" t="str">
        <f>'KV_1.1.sz.mell.'!A100</f>
        <v>2</v>
      </c>
      <c r="B98" s="401" t="str">
        <f>'KV_1.1.sz.mell.'!B100</f>
        <v>Személyi  juttatások</v>
      </c>
      <c r="C98" s="402">
        <v>26650648</v>
      </c>
      <c r="D98" s="402">
        <v>31363808</v>
      </c>
      <c r="E98" s="178">
        <v>27500000</v>
      </c>
    </row>
    <row r="99" spans="1:5" ht="16.5" customHeight="1" x14ac:dyDescent="0.3">
      <c r="A99" s="371" t="str">
        <f>'KV_1.1.sz.mell.'!A101</f>
        <v>3</v>
      </c>
      <c r="B99" s="331" t="str">
        <f>'KV_1.1.sz.mell.'!B101</f>
        <v>Munkaadókat terhelő járulékok és szociális hozzájárulási adó</v>
      </c>
      <c r="C99" s="392">
        <v>2824142</v>
      </c>
      <c r="D99" s="392">
        <v>3562179</v>
      </c>
      <c r="E99" s="179">
        <v>2955000</v>
      </c>
    </row>
    <row r="100" spans="1:5" x14ac:dyDescent="0.3">
      <c r="A100" s="371" t="str">
        <f>'KV_1.1.sz.mell.'!A102</f>
        <v>4</v>
      </c>
      <c r="B100" s="331" t="str">
        <f>'KV_1.1.sz.mell.'!B102</f>
        <v>Dologi  kiadások</v>
      </c>
      <c r="C100" s="393">
        <v>106309973</v>
      </c>
      <c r="D100" s="393">
        <v>94054841</v>
      </c>
      <c r="E100" s="181">
        <v>34514000</v>
      </c>
    </row>
    <row r="101" spans="1:5" s="16" customFormat="1" ht="12" customHeight="1" x14ac:dyDescent="0.2">
      <c r="A101" s="371" t="str">
        <f>'KV_1.1.sz.mell.'!A103</f>
        <v>5</v>
      </c>
      <c r="B101" s="332" t="str">
        <f>'KV_1.1.sz.mell.'!B103</f>
        <v>Ellátottak pénzbeli juttatásai</v>
      </c>
      <c r="C101" s="393">
        <v>2183254</v>
      </c>
      <c r="D101" s="393">
        <v>2057526</v>
      </c>
      <c r="E101" s="181">
        <v>2760000</v>
      </c>
    </row>
    <row r="102" spans="1:5" ht="12" customHeight="1" x14ac:dyDescent="0.3">
      <c r="A102" s="371" t="str">
        <f>'KV_1.1.sz.mell.'!A104</f>
        <v>6</v>
      </c>
      <c r="B102" s="332" t="str">
        <f>'KV_1.1.sz.mell.'!B104</f>
        <v>Egyéb működési célú kiadások</v>
      </c>
      <c r="C102" s="393">
        <f>SUM(C103:C114)</f>
        <v>15888111</v>
      </c>
      <c r="D102" s="393">
        <f>SUM(D103:D114)</f>
        <v>15898958</v>
      </c>
      <c r="E102" s="181">
        <f>SUM(E103:E115)</f>
        <v>27419582</v>
      </c>
    </row>
    <row r="103" spans="1:5" ht="12" customHeight="1" x14ac:dyDescent="0.3">
      <c r="A103" s="371" t="str">
        <f>'KV_1.1.sz.mell.'!A105</f>
        <v>7</v>
      </c>
      <c r="B103" s="331" t="str">
        <f>'KV_1.1.sz.mell.'!B105</f>
        <v xml:space="preserve">   - a 6-ból:       - Előző évi elszámolásból származó befizetések</v>
      </c>
      <c r="C103" s="393">
        <v>53325</v>
      </c>
      <c r="D103" s="393">
        <v>103411</v>
      </c>
      <c r="E103" s="181"/>
    </row>
    <row r="104" spans="1:5" ht="12" customHeight="1" x14ac:dyDescent="0.3">
      <c r="A104" s="371" t="str">
        <f>'KV_1.1.sz.mell.'!A106</f>
        <v>8</v>
      </c>
      <c r="B104" s="331" t="str">
        <f>'KV_1.1.sz.mell.'!B106</f>
        <v xml:space="preserve">   - Törvényi előíráson alapuló befizetések</v>
      </c>
      <c r="C104" s="393">
        <v>4633375</v>
      </c>
      <c r="D104" s="393">
        <v>5315241</v>
      </c>
      <c r="E104" s="181">
        <v>7708157</v>
      </c>
    </row>
    <row r="105" spans="1:5" ht="12" customHeight="1" x14ac:dyDescent="0.3">
      <c r="A105" s="371" t="str">
        <f>'KV_1.1.sz.mell.'!A107</f>
        <v>9</v>
      </c>
      <c r="B105" s="331" t="str">
        <f>'KV_1.1.sz.mell.'!B107</f>
        <v xml:space="preserve">   - Egyéb elvonások, befizetések</v>
      </c>
      <c r="C105" s="393"/>
      <c r="D105" s="393"/>
      <c r="E105" s="181"/>
    </row>
    <row r="106" spans="1:5" ht="12" customHeight="1" x14ac:dyDescent="0.3">
      <c r="A106" s="371" t="str">
        <f>'KV_1.1.sz.mell.'!A108</f>
        <v>10</v>
      </c>
      <c r="B106" s="382" t="str">
        <f>'KV_1.1.sz.mell.'!B108</f>
        <v xml:space="preserve">   - Garancia- és kezességvállalásból kifizetés ÁH-n belülre</v>
      </c>
      <c r="C106" s="393"/>
      <c r="D106" s="393"/>
      <c r="E106" s="181"/>
    </row>
    <row r="107" spans="1:5" ht="12" customHeight="1" x14ac:dyDescent="0.3">
      <c r="A107" s="371" t="str">
        <f>'KV_1.1.sz.mell.'!A109</f>
        <v>11</v>
      </c>
      <c r="B107" s="331" t="str">
        <f>'KV_1.1.sz.mell.'!B109</f>
        <v xml:space="preserve">   -Visszatérítendő támogatások, kölcsönök nyújtása ÁH-n belülre</v>
      </c>
      <c r="C107" s="393"/>
      <c r="D107" s="393"/>
      <c r="E107" s="181"/>
    </row>
    <row r="108" spans="1:5" ht="12" customHeight="1" x14ac:dyDescent="0.3">
      <c r="A108" s="371" t="str">
        <f>'KV_1.1.sz.mell.'!A110</f>
        <v>12</v>
      </c>
      <c r="B108" s="331" t="str">
        <f>'KV_1.1.sz.mell.'!B110</f>
        <v xml:space="preserve">   - Visszatérítendő támogatások, kölcsönök törlesztése ÁH-n belülre</v>
      </c>
      <c r="C108" s="393"/>
      <c r="D108" s="393"/>
      <c r="E108" s="181"/>
    </row>
    <row r="109" spans="1:5" ht="12" customHeight="1" x14ac:dyDescent="0.3">
      <c r="A109" s="371" t="str">
        <f>'KV_1.1.sz.mell.'!A111</f>
        <v>13</v>
      </c>
      <c r="B109" s="382" t="str">
        <f>'KV_1.1.sz.mell.'!B111</f>
        <v xml:space="preserve">   - Egyéb működési célú támogatások ÁH-n belülre</v>
      </c>
      <c r="C109" s="393">
        <v>9736411</v>
      </c>
      <c r="D109" s="393">
        <v>8808456</v>
      </c>
      <c r="E109" s="181">
        <v>17445581</v>
      </c>
    </row>
    <row r="110" spans="1:5" ht="12" customHeight="1" x14ac:dyDescent="0.3">
      <c r="A110" s="371" t="str">
        <f>'KV_1.1.sz.mell.'!A112</f>
        <v>14</v>
      </c>
      <c r="B110" s="382" t="str">
        <f>'KV_1.1.sz.mell.'!B112</f>
        <v xml:space="preserve">   - Garancia és kezességvállalásból kifizetés ÁH-n kívülre</v>
      </c>
      <c r="C110" s="393"/>
      <c r="D110" s="393"/>
      <c r="E110" s="181"/>
    </row>
    <row r="111" spans="1:5" ht="12" customHeight="1" x14ac:dyDescent="0.3">
      <c r="A111" s="371" t="str">
        <f>'KV_1.1.sz.mell.'!A113</f>
        <v>15</v>
      </c>
      <c r="B111" s="331" t="str">
        <f>'KV_1.1.sz.mell.'!B113</f>
        <v xml:space="preserve">   - Visszatérítendő támogatások, kölcsönök nyújtása ÁH-n kívülre</v>
      </c>
      <c r="C111" s="393"/>
      <c r="D111" s="393"/>
      <c r="E111" s="181"/>
    </row>
    <row r="112" spans="1:5" ht="12" customHeight="1" x14ac:dyDescent="0.3">
      <c r="A112" s="371" t="str">
        <f>'KV_1.1.sz.mell.'!A114</f>
        <v>16</v>
      </c>
      <c r="B112" s="331" t="str">
        <f>'KV_1.1.sz.mell.'!B114</f>
        <v xml:space="preserve">   - Árkiegészítések, ártámogatások</v>
      </c>
      <c r="C112" s="393"/>
      <c r="D112" s="393"/>
      <c r="E112" s="181"/>
    </row>
    <row r="113" spans="1:5" ht="12" customHeight="1" x14ac:dyDescent="0.3">
      <c r="A113" s="371" t="str">
        <f>'KV_1.1.sz.mell.'!A115</f>
        <v>17</v>
      </c>
      <c r="B113" s="331" t="str">
        <f>'KV_1.1.sz.mell.'!B115</f>
        <v xml:space="preserve">   - Kamattámogatások</v>
      </c>
      <c r="C113" s="393"/>
      <c r="D113" s="393"/>
      <c r="E113" s="181"/>
    </row>
    <row r="114" spans="1:5" ht="12" customHeight="1" x14ac:dyDescent="0.3">
      <c r="A114" s="371" t="str">
        <f>'KV_1.1.sz.mell.'!A116</f>
        <v>18</v>
      </c>
      <c r="B114" s="331" t="str">
        <f>'KV_1.1.sz.mell.'!B116</f>
        <v xml:space="preserve">   - Egyéb működési célú támogatások államháztartáson kívülre</v>
      </c>
      <c r="C114" s="393">
        <v>1465000</v>
      </c>
      <c r="D114" s="393">
        <v>1671850</v>
      </c>
      <c r="E114" s="181">
        <v>1761350</v>
      </c>
    </row>
    <row r="115" spans="1:5" ht="12" customHeight="1" x14ac:dyDescent="0.3">
      <c r="A115" s="371" t="str">
        <f>'KV_1.1.sz.mell.'!A117</f>
        <v>19</v>
      </c>
      <c r="B115" s="331" t="str">
        <f>'KV_1.1.sz.mell.'!B117</f>
        <v xml:space="preserve">   - Tartalékok</v>
      </c>
      <c r="C115" s="392"/>
      <c r="D115" s="392"/>
      <c r="E115" s="179">
        <f>SUM(E116:E117)</f>
        <v>504494</v>
      </c>
    </row>
    <row r="116" spans="1:5" ht="12" customHeight="1" x14ac:dyDescent="0.3">
      <c r="A116" s="371" t="str">
        <f>'KV_1.1.sz.mell.'!A118</f>
        <v>20</v>
      </c>
      <c r="B116" s="334" t="str">
        <f>'KV_1.1.sz.mell.'!B118</f>
        <v xml:space="preserve">         - a 19-ből:             - Általános tartalék</v>
      </c>
      <c r="C116" s="392"/>
      <c r="D116" s="392"/>
      <c r="E116" s="179">
        <v>504494</v>
      </c>
    </row>
    <row r="117" spans="1:5" ht="12" customHeight="1" thickBot="1" x14ac:dyDescent="0.35">
      <c r="A117" s="372" t="str">
        <f>'KV_1.1.sz.mell.'!A119</f>
        <v>21</v>
      </c>
      <c r="B117" s="383" t="str">
        <f>'KV_1.1.sz.mell.'!B119</f>
        <v xml:space="preserve">                                       - Céltartalék</v>
      </c>
      <c r="C117" s="403"/>
      <c r="D117" s="403"/>
      <c r="E117" s="185"/>
    </row>
    <row r="118" spans="1:5" ht="12" customHeight="1" thickBot="1" x14ac:dyDescent="0.35">
      <c r="A118" s="376" t="str">
        <f>'KV_1.1.sz.mell.'!A120</f>
        <v>22</v>
      </c>
      <c r="B118" s="244" t="str">
        <f>'KV_1.1.sz.mell.'!B120</f>
        <v xml:space="preserve">   Felhalmozási költségvetés kiadásai (23+25+27)</v>
      </c>
      <c r="C118" s="384">
        <f>+C119+C121+C123</f>
        <v>283492053</v>
      </c>
      <c r="D118" s="384">
        <f>+D119+D121+D123</f>
        <v>129730250</v>
      </c>
      <c r="E118" s="245">
        <v>124715931</v>
      </c>
    </row>
    <row r="119" spans="1:5" ht="12" customHeight="1" x14ac:dyDescent="0.3">
      <c r="A119" s="371">
        <f>'KV_1.1.sz.mell.'!A121</f>
        <v>23</v>
      </c>
      <c r="B119" s="331" t="str">
        <f>'KV_1.1.sz.mell.'!B121</f>
        <v>Beruházások</v>
      </c>
      <c r="C119" s="391">
        <v>282534201</v>
      </c>
      <c r="D119" s="391">
        <v>71624469</v>
      </c>
      <c r="E119" s="180">
        <v>124715931</v>
      </c>
    </row>
    <row r="120" spans="1:5" x14ac:dyDescent="0.3">
      <c r="A120" s="371" t="str">
        <f>'KV_1.1.sz.mell.'!A122</f>
        <v>24</v>
      </c>
      <c r="B120" s="333" t="str">
        <f>'KV_1.1.sz.mell.'!B122</f>
        <v>23-ból EU-s forrásból megvalósuló beruházás</v>
      </c>
      <c r="C120" s="391"/>
      <c r="D120" s="391"/>
      <c r="E120" s="180">
        <v>123204931</v>
      </c>
    </row>
    <row r="121" spans="1:5" ht="12" customHeight="1" x14ac:dyDescent="0.3">
      <c r="A121" s="371" t="str">
        <f>'KV_1.1.sz.mell.'!A123</f>
        <v>25</v>
      </c>
      <c r="B121" s="333" t="str">
        <f>'KV_1.1.sz.mell.'!B123</f>
        <v>Felújítások</v>
      </c>
      <c r="C121" s="392"/>
      <c r="D121" s="392"/>
      <c r="E121" s="179"/>
    </row>
    <row r="122" spans="1:5" ht="12" customHeight="1" x14ac:dyDescent="0.3">
      <c r="A122" s="371" t="str">
        <f>'KV_1.1.sz.mell.'!A124</f>
        <v>26</v>
      </c>
      <c r="B122" s="333" t="str">
        <f>'KV_1.1.sz.mell.'!B124</f>
        <v>25-ből EU-s forrásból megvalósuló felújítás</v>
      </c>
      <c r="C122" s="392"/>
      <c r="D122" s="392"/>
      <c r="E122" s="154"/>
    </row>
    <row r="123" spans="1:5" ht="12" customHeight="1" x14ac:dyDescent="0.3">
      <c r="A123" s="371" t="str">
        <f>'KV_1.1.sz.mell.'!A125</f>
        <v>27</v>
      </c>
      <c r="B123" s="280" t="str">
        <f>'KV_1.1.sz.mell.'!B125</f>
        <v>Egyéb felhalmozási célú kiadások</v>
      </c>
      <c r="C123" s="392">
        <f>SUM(C124:C131)</f>
        <v>957852</v>
      </c>
      <c r="D123" s="392">
        <f>SUM(D124:D131)</f>
        <v>58105781</v>
      </c>
      <c r="E123" s="154"/>
    </row>
    <row r="124" spans="1:5" ht="12" customHeight="1" x14ac:dyDescent="0.3">
      <c r="A124" s="371" t="str">
        <f>'KV_1.1.sz.mell.'!A126</f>
        <v>28</v>
      </c>
      <c r="B124" s="326" t="str">
        <f>'KV_1.1.sz.mell.'!B126</f>
        <v>27-ből           - Garancia- és kezességvállalásból kifizetés ÁH-n belülre</v>
      </c>
      <c r="C124" s="392"/>
      <c r="D124" s="392"/>
      <c r="E124" s="154"/>
    </row>
    <row r="125" spans="1:5" ht="12" customHeight="1" x14ac:dyDescent="0.3">
      <c r="A125" s="371" t="str">
        <f>'KV_1.1.sz.mell.'!A127</f>
        <v>29</v>
      </c>
      <c r="B125" s="334" t="str">
        <f>'KV_1.1.sz.mell.'!B127</f>
        <v xml:space="preserve">   - Visszatérítendő támogatások, kölcsönök nyújtása ÁH-n belülre</v>
      </c>
      <c r="C125" s="392"/>
      <c r="D125" s="392"/>
      <c r="E125" s="154"/>
    </row>
    <row r="126" spans="1:5" ht="12" customHeight="1" x14ac:dyDescent="0.3">
      <c r="A126" s="371" t="str">
        <f>'KV_1.1.sz.mell.'!A128</f>
        <v>30</v>
      </c>
      <c r="B126" s="331" t="str">
        <f>'KV_1.1.sz.mell.'!B128</f>
        <v xml:space="preserve">   - Visszatérítendő támogatások, kölcsönök törlesztése ÁH-n belülre</v>
      </c>
      <c r="C126" s="392"/>
      <c r="D126" s="392"/>
      <c r="E126" s="154"/>
    </row>
    <row r="127" spans="1:5" ht="12" customHeight="1" x14ac:dyDescent="0.3">
      <c r="A127" s="371" t="str">
        <f>'KV_1.1.sz.mell.'!A129</f>
        <v>31</v>
      </c>
      <c r="B127" s="331" t="str">
        <f>'KV_1.1.sz.mell.'!B129</f>
        <v xml:space="preserve">   - Egyéb felhalmozási célú támogatások ÁH-n belülre</v>
      </c>
      <c r="C127" s="392">
        <v>957852</v>
      </c>
      <c r="D127" s="392">
        <v>58105781</v>
      </c>
      <c r="E127" s="154"/>
    </row>
    <row r="128" spans="1:5" ht="12" customHeight="1" x14ac:dyDescent="0.3">
      <c r="A128" s="371" t="str">
        <f>'KV_1.1.sz.mell.'!A130</f>
        <v>32</v>
      </c>
      <c r="B128" s="331" t="str">
        <f>'KV_1.1.sz.mell.'!B130</f>
        <v xml:space="preserve">   - Garancia- és kezességvállalásból kifizetés ÁH-n kívülre</v>
      </c>
      <c r="C128" s="392"/>
      <c r="D128" s="392"/>
      <c r="E128" s="154"/>
    </row>
    <row r="129" spans="1:5" ht="12" customHeight="1" x14ac:dyDescent="0.3">
      <c r="A129" s="371" t="str">
        <f>'KV_1.1.sz.mell.'!A131</f>
        <v>33</v>
      </c>
      <c r="B129" s="331" t="str">
        <f>'KV_1.1.sz.mell.'!B131</f>
        <v xml:space="preserve">   - Visszatérítendő támogatások, kölcsönök nyújtása ÁH-n kívülre</v>
      </c>
      <c r="C129" s="392"/>
      <c r="D129" s="392"/>
      <c r="E129" s="154"/>
    </row>
    <row r="130" spans="1:5" ht="12" customHeight="1" x14ac:dyDescent="0.3">
      <c r="A130" s="371" t="str">
        <f>'KV_1.1.sz.mell.'!A132</f>
        <v>34</v>
      </c>
      <c r="B130" s="331" t="str">
        <f>'KV_1.1.sz.mell.'!B132</f>
        <v xml:space="preserve">   - Lakástámogatás</v>
      </c>
      <c r="C130" s="392"/>
      <c r="D130" s="392"/>
      <c r="E130" s="154"/>
    </row>
    <row r="131" spans="1:5" ht="12" customHeight="1" thickBot="1" x14ac:dyDescent="0.35">
      <c r="A131" s="371">
        <f>'KV_1.1.sz.mell.'!A133</f>
        <v>35</v>
      </c>
      <c r="B131" s="331" t="str">
        <f>'KV_1.1.sz.mell.'!B133</f>
        <v xml:space="preserve">   - Egyéb felhalmozási célú támogatások államháztartáson kívülre</v>
      </c>
      <c r="C131" s="393"/>
      <c r="D131" s="393"/>
      <c r="E131" s="155"/>
    </row>
    <row r="132" spans="1:5" ht="12" customHeight="1" thickBot="1" x14ac:dyDescent="0.35">
      <c r="A132" s="376">
        <f>'KV_1.1.sz.mell.'!A134</f>
        <v>36</v>
      </c>
      <c r="B132" s="81" t="str">
        <f>'KV_1.1.sz.mell.'!B134</f>
        <v>KÖLTSÉGVETÉSI KIADÁSOK ÖSSZESEN (1+22)</v>
      </c>
      <c r="C132" s="379">
        <f>+C97+C118</f>
        <v>437348181</v>
      </c>
      <c r="D132" s="379">
        <f>+D97+D118</f>
        <v>276667562</v>
      </c>
      <c r="E132" s="177">
        <f>SUM(E97,E118)</f>
        <v>219864513</v>
      </c>
    </row>
    <row r="133" spans="1:5" ht="12" customHeight="1" thickBot="1" x14ac:dyDescent="0.35">
      <c r="A133" s="376">
        <f>'KV_1.1.sz.mell.'!A135</f>
        <v>37</v>
      </c>
      <c r="B133" s="81" t="str">
        <f>'KV_1.1.sz.mell.'!B135</f>
        <v>Hitel-, kölcsöntörlesztés államháztartáson kívülre (38+ … + 40)</v>
      </c>
      <c r="C133" s="379">
        <f>+C134+C135+C136</f>
        <v>0</v>
      </c>
      <c r="D133" s="379">
        <f>+D134+D135+D136</f>
        <v>0</v>
      </c>
      <c r="E133" s="177">
        <v>0</v>
      </c>
    </row>
    <row r="134" spans="1:5" ht="12" customHeight="1" x14ac:dyDescent="0.3">
      <c r="A134" s="371">
        <f>'KV_1.1.sz.mell.'!A136</f>
        <v>38</v>
      </c>
      <c r="B134" s="333" t="str">
        <f>'KV_1.1.sz.mell.'!B136</f>
        <v>Hosszú lejáratú hitelek, kölcsönök törlesztése pénzügyi vállalkozásnak</v>
      </c>
      <c r="C134" s="392"/>
      <c r="D134" s="392"/>
      <c r="E134" s="154"/>
    </row>
    <row r="135" spans="1:5" ht="12" customHeight="1" x14ac:dyDescent="0.3">
      <c r="A135" s="371" t="str">
        <f>'KV_1.1.sz.mell.'!A137</f>
        <v>39</v>
      </c>
      <c r="B135" s="333" t="str">
        <f>'KV_1.1.sz.mell.'!B137</f>
        <v>Likviditási célú hitelek, kölcsönök törlesztése pénzügyi vállalkozásnak</v>
      </c>
      <c r="C135" s="392"/>
      <c r="D135" s="392"/>
      <c r="E135" s="154"/>
    </row>
    <row r="136" spans="1:5" ht="12" customHeight="1" thickBot="1" x14ac:dyDescent="0.35">
      <c r="A136" s="371" t="str">
        <f>'KV_1.1.sz.mell.'!A138</f>
        <v>40</v>
      </c>
      <c r="B136" s="333" t="str">
        <f>'KV_1.1.sz.mell.'!B138</f>
        <v>Rövid lejáratú hitelek, kölcsönök törlesztése pénzügyi vállalkozásnak</v>
      </c>
      <c r="C136" s="392"/>
      <c r="D136" s="392"/>
      <c r="E136" s="154"/>
    </row>
    <row r="137" spans="1:5" ht="12" customHeight="1" thickBot="1" x14ac:dyDescent="0.35">
      <c r="A137" s="376">
        <f>'KV_1.1.sz.mell.'!A139</f>
        <v>41</v>
      </c>
      <c r="B137" s="81" t="str">
        <f>'KV_1.1.sz.mell.'!B139</f>
        <v>Belföldi értékpapírok kiadásai (42+ … + 47)</v>
      </c>
      <c r="C137" s="379">
        <f>SUM(C138:C143)</f>
        <v>0</v>
      </c>
      <c r="D137" s="379">
        <f>SUM(D138:D143)</f>
        <v>0</v>
      </c>
      <c r="E137" s="177">
        <v>0</v>
      </c>
    </row>
    <row r="138" spans="1:5" ht="12" customHeight="1" x14ac:dyDescent="0.3">
      <c r="A138" s="371">
        <f>'KV_1.1.sz.mell.'!A140</f>
        <v>42</v>
      </c>
      <c r="B138" s="334" t="str">
        <f>'KV_1.1.sz.mell.'!B140</f>
        <v>Forgatási célú belföldi értékpapírok vásárlása</v>
      </c>
      <c r="C138" s="392"/>
      <c r="D138" s="392"/>
      <c r="E138" s="154"/>
    </row>
    <row r="139" spans="1:5" ht="12" customHeight="1" x14ac:dyDescent="0.3">
      <c r="A139" s="371">
        <f>'KV_1.1.sz.mell.'!A141</f>
        <v>43</v>
      </c>
      <c r="B139" s="334" t="str">
        <f>'KV_1.1.sz.mell.'!B141</f>
        <v>Befektetési célú belföldi értékpapírok vásárlása</v>
      </c>
      <c r="C139" s="392"/>
      <c r="D139" s="392"/>
      <c r="E139" s="154"/>
    </row>
    <row r="140" spans="1:5" ht="12" customHeight="1" x14ac:dyDescent="0.3">
      <c r="A140" s="371" t="str">
        <f>'KV_1.1.sz.mell.'!A142</f>
        <v>44</v>
      </c>
      <c r="B140" s="334" t="str">
        <f>'KV_1.1.sz.mell.'!B142</f>
        <v>Kincstárjegyek beváltása</v>
      </c>
      <c r="C140" s="392"/>
      <c r="D140" s="392"/>
      <c r="E140" s="154"/>
    </row>
    <row r="141" spans="1:5" ht="12" customHeight="1" x14ac:dyDescent="0.3">
      <c r="A141" s="371" t="str">
        <f>'KV_1.1.sz.mell.'!A143</f>
        <v>45</v>
      </c>
      <c r="B141" s="334" t="str">
        <f>'KV_1.1.sz.mell.'!B143</f>
        <v>Éven belüli lejáratú belföldi értékpapírok beváltása</v>
      </c>
      <c r="C141" s="392"/>
      <c r="D141" s="392"/>
      <c r="E141" s="154"/>
    </row>
    <row r="142" spans="1:5" ht="12" customHeight="1" x14ac:dyDescent="0.3">
      <c r="A142" s="371" t="str">
        <f>'KV_1.1.sz.mell.'!A144</f>
        <v>46</v>
      </c>
      <c r="B142" s="335" t="str">
        <f>'KV_1.1.sz.mell.'!B144</f>
        <v>Belföldi kötvények beváltása</v>
      </c>
      <c r="C142" s="392"/>
      <c r="D142" s="392"/>
      <c r="E142" s="155"/>
    </row>
    <row r="143" spans="1:5" ht="12" customHeight="1" thickBot="1" x14ac:dyDescent="0.35">
      <c r="A143" s="371">
        <f>'KV_1.1.sz.mell.'!A145</f>
        <v>47</v>
      </c>
      <c r="B143" s="383" t="str">
        <f>'KV_1.1.sz.mell.'!B145</f>
        <v>Éven túli lejáratú belföldi értékpapírok beváltása</v>
      </c>
      <c r="C143" s="392"/>
      <c r="D143" s="392"/>
      <c r="E143" s="247"/>
    </row>
    <row r="144" spans="1:5" ht="12" customHeight="1" thickBot="1" x14ac:dyDescent="0.35">
      <c r="A144" s="376">
        <f>'KV_1.1.sz.mell.'!A146</f>
        <v>48</v>
      </c>
      <c r="B144" s="81" t="str">
        <f>'KV_1.1.sz.mell.'!B146</f>
        <v>Belföldi finanszírozás kiadásai (49+ … + 52)</v>
      </c>
      <c r="C144" s="380">
        <f>+C145+C146+C147+C148</f>
        <v>1082413</v>
      </c>
      <c r="D144" s="380">
        <f>+D145+D146+D147+D148</f>
        <v>852209</v>
      </c>
      <c r="E144" s="183">
        <v>795305</v>
      </c>
    </row>
    <row r="145" spans="1:6" ht="12" customHeight="1" x14ac:dyDescent="0.3">
      <c r="A145" s="371">
        <f>'KV_1.1.sz.mell.'!A147</f>
        <v>49</v>
      </c>
      <c r="B145" s="334" t="str">
        <f>'KV_1.1.sz.mell.'!B147</f>
        <v>Államháztartáson belüli megelőlegezések folyósítása</v>
      </c>
      <c r="C145" s="392"/>
      <c r="D145" s="392"/>
      <c r="E145" s="154"/>
    </row>
    <row r="146" spans="1:6" ht="12" customHeight="1" x14ac:dyDescent="0.3">
      <c r="A146" s="371" t="str">
        <f>'KV_1.1.sz.mell.'!A148</f>
        <v>50</v>
      </c>
      <c r="B146" s="334" t="str">
        <f>'KV_1.1.sz.mell.'!B148</f>
        <v>Államháztartáson belüli megelőlegezések visszafizetése</v>
      </c>
      <c r="C146" s="392">
        <v>1082413</v>
      </c>
      <c r="D146" s="392">
        <v>852209</v>
      </c>
      <c r="E146" s="154">
        <v>795305</v>
      </c>
    </row>
    <row r="147" spans="1:6" ht="12" customHeight="1" x14ac:dyDescent="0.3">
      <c r="A147" s="371" t="str">
        <f>'KV_1.1.sz.mell.'!A149</f>
        <v>51</v>
      </c>
      <c r="B147" s="335" t="str">
        <f>'KV_1.1.sz.mell.'!B149</f>
        <v>Pénzeszközök lekötött betétként elhelyezése</v>
      </c>
      <c r="C147" s="392"/>
      <c r="D147" s="392"/>
      <c r="E147" s="155"/>
    </row>
    <row r="148" spans="1:6" ht="12" customHeight="1" thickBot="1" x14ac:dyDescent="0.35">
      <c r="A148" s="372">
        <f>'KV_1.1.sz.mell.'!A150</f>
        <v>52</v>
      </c>
      <c r="B148" s="383" t="str">
        <f>'KV_1.1.sz.mell.'!B150</f>
        <v>Pénzügyi lízing kiadásai</v>
      </c>
      <c r="C148" s="392"/>
      <c r="D148" s="392"/>
      <c r="E148" s="247"/>
    </row>
    <row r="149" spans="1:6" ht="12" customHeight="1" thickBot="1" x14ac:dyDescent="0.35">
      <c r="A149" s="376">
        <f>'KV_1.1.sz.mell.'!A151</f>
        <v>53</v>
      </c>
      <c r="B149" s="81" t="str">
        <f>'KV_1.1.sz.mell.'!B151</f>
        <v>Külföldi finanszírozás kiadásai (54+ … + 58)</v>
      </c>
      <c r="C149" s="385">
        <f>SUM(C150:C154)</f>
        <v>0</v>
      </c>
      <c r="D149" s="385">
        <f>SUM(D150:D154)</f>
        <v>0</v>
      </c>
      <c r="E149" s="186">
        <f>SUM(E150:E154)</f>
        <v>0</v>
      </c>
    </row>
    <row r="150" spans="1:6" ht="12" customHeight="1" x14ac:dyDescent="0.3">
      <c r="A150" s="371">
        <f>'KV_1.1.sz.mell.'!A152</f>
        <v>54</v>
      </c>
      <c r="B150" s="334" t="str">
        <f>'KV_1.1.sz.mell.'!B152</f>
        <v>Forgatási célú külföldi értékpapírok vásárlása</v>
      </c>
      <c r="C150" s="392"/>
      <c r="D150" s="392"/>
      <c r="E150" s="154"/>
    </row>
    <row r="151" spans="1:6" ht="12" customHeight="1" x14ac:dyDescent="0.3">
      <c r="A151" s="371">
        <f>'KV_1.1.sz.mell.'!A153</f>
        <v>55</v>
      </c>
      <c r="B151" s="334" t="str">
        <f>'KV_1.1.sz.mell.'!B153</f>
        <v>Befektetési célú külföldi értékpapírok vásárlása</v>
      </c>
      <c r="C151" s="392"/>
      <c r="D151" s="392"/>
      <c r="E151" s="154"/>
    </row>
    <row r="152" spans="1:6" ht="12" customHeight="1" x14ac:dyDescent="0.3">
      <c r="A152" s="371" t="str">
        <f>'KV_1.1.sz.mell.'!A154</f>
        <v>56</v>
      </c>
      <c r="B152" s="334" t="str">
        <f>'KV_1.1.sz.mell.'!B154</f>
        <v>Külföldi értékpapírok beváltása</v>
      </c>
      <c r="C152" s="392"/>
      <c r="D152" s="392"/>
      <c r="E152" s="154"/>
    </row>
    <row r="153" spans="1:6" ht="12" customHeight="1" x14ac:dyDescent="0.3">
      <c r="A153" s="371" t="str">
        <f>'KV_1.1.sz.mell.'!A155</f>
        <v>57</v>
      </c>
      <c r="B153" s="334" t="str">
        <f>'KV_1.1.sz.mell.'!B155</f>
        <v>Hitelek, kölcsönök törlesztése külföldi kormányoknak nemz. szervezeteknek</v>
      </c>
      <c r="C153" s="392"/>
      <c r="D153" s="392"/>
      <c r="E153" s="154"/>
    </row>
    <row r="154" spans="1:6" ht="12" customHeight="1" thickBot="1" x14ac:dyDescent="0.35">
      <c r="A154" s="371" t="str">
        <f>'KV_1.1.sz.mell.'!A156</f>
        <v>58</v>
      </c>
      <c r="B154" s="334" t="str">
        <f>'KV_1.1.sz.mell.'!B156</f>
        <v>Hitelek, kölcsönök törlesztése külföldi pénzintézeteknek</v>
      </c>
      <c r="C154" s="392"/>
      <c r="D154" s="392"/>
      <c r="E154" s="154"/>
    </row>
    <row r="155" spans="1:6" ht="12" customHeight="1" thickBot="1" x14ac:dyDescent="0.35">
      <c r="A155" s="376">
        <f>'KV_1.1.sz.mell.'!A157</f>
        <v>59</v>
      </c>
      <c r="B155" s="81" t="str">
        <f>'KV_1.1.sz.mell.'!B157</f>
        <v>Adóssághoz nem kapcsolódó származékos ügyletek</v>
      </c>
      <c r="C155" s="404"/>
      <c r="D155" s="404"/>
      <c r="E155" s="246"/>
    </row>
    <row r="156" spans="1:6" ht="12" customHeight="1" thickBot="1" x14ac:dyDescent="0.35">
      <c r="A156" s="376">
        <f>'KV_1.1.sz.mell.'!A158</f>
        <v>60</v>
      </c>
      <c r="B156" s="81" t="str">
        <f>'KV_1.1.sz.mell.'!B158</f>
        <v>Váltókiadások</v>
      </c>
      <c r="C156" s="404"/>
      <c r="D156" s="404"/>
      <c r="E156" s="246"/>
    </row>
    <row r="157" spans="1:6" ht="15.15" customHeight="1" thickBot="1" x14ac:dyDescent="0.35">
      <c r="A157" s="376">
        <f>'KV_1.1.sz.mell.'!A159</f>
        <v>61</v>
      </c>
      <c r="B157" s="81" t="str">
        <f>'KV_1.1.sz.mell.'!B159</f>
        <v>FINANSZÍROZÁSI KIADÁSOK ÖSSZESEN: (37+41+48+53+59+60)</v>
      </c>
      <c r="C157" s="381">
        <f>+C133+C137+C144+C149+C155+C156</f>
        <v>1082413</v>
      </c>
      <c r="D157" s="381">
        <f>+D133+D137+D144+D149+D155+D156</f>
        <v>852209</v>
      </c>
      <c r="E157" s="287">
        <f>+E133+E137+E144+E149+E155+E156</f>
        <v>795305</v>
      </c>
      <c r="F157" s="76"/>
    </row>
    <row r="158" spans="1:6" s="1" customFormat="1" ht="12.9" customHeight="1" thickBot="1" x14ac:dyDescent="0.3">
      <c r="A158" s="376">
        <f>'KV_1.1.sz.mell.'!A160</f>
        <v>62</v>
      </c>
      <c r="B158" s="405" t="str">
        <f>'KV_1.1.sz.mell.'!B160</f>
        <v>KIADÁSOK ÖSSZESEN: (36.+61)</v>
      </c>
      <c r="C158" s="381">
        <f>+C132+C157</f>
        <v>438430594</v>
      </c>
      <c r="D158" s="381">
        <f>+D132+D157</f>
        <v>277519771</v>
      </c>
      <c r="E158" s="287">
        <f>+E132+E157</f>
        <v>220659818</v>
      </c>
    </row>
    <row r="159" spans="1:6" x14ac:dyDescent="0.3">
      <c r="A159" s="219"/>
      <c r="B159" s="406"/>
      <c r="C159" s="406"/>
      <c r="D159" s="406"/>
      <c r="E159" s="410">
        <f>E91-E158</f>
        <v>0</v>
      </c>
    </row>
    <row r="160" spans="1:6" x14ac:dyDescent="0.3">
      <c r="C160" s="15"/>
    </row>
    <row r="161" spans="3:3" x14ac:dyDescent="0.3">
      <c r="C161" s="15"/>
    </row>
    <row r="162" spans="3:3" ht="16.5" customHeight="1" x14ac:dyDescent="0.3">
      <c r="C162" s="15"/>
    </row>
    <row r="163" spans="3:3" x14ac:dyDescent="0.3">
      <c r="C163" s="15"/>
    </row>
    <row r="164" spans="3:3" x14ac:dyDescent="0.3">
      <c r="C164" s="15"/>
    </row>
    <row r="165" spans="3:3" x14ac:dyDescent="0.3">
      <c r="C165" s="15"/>
    </row>
    <row r="166" spans="3:3" x14ac:dyDescent="0.3">
      <c r="C166" s="15"/>
    </row>
    <row r="167" spans="3:3" x14ac:dyDescent="0.3">
      <c r="C167" s="15"/>
    </row>
    <row r="168" spans="3:3" x14ac:dyDescent="0.3">
      <c r="C168" s="15"/>
    </row>
    <row r="169" spans="3:3" x14ac:dyDescent="0.3">
      <c r="C169" s="15"/>
    </row>
    <row r="170" spans="3:3" x14ac:dyDescent="0.3">
      <c r="C170" s="15"/>
    </row>
    <row r="171" spans="3:3" x14ac:dyDescent="0.3">
      <c r="C171" s="15"/>
    </row>
  </sheetData>
  <mergeCells count="6">
    <mergeCell ref="A4:E4"/>
    <mergeCell ref="A93:E93"/>
    <mergeCell ref="A94:B94"/>
    <mergeCell ref="A5:B5"/>
    <mergeCell ref="A2:E2"/>
    <mergeCell ref="A3:E3"/>
  </mergeCells>
  <phoneticPr fontId="28" type="noConversion"/>
  <printOptions horizontalCentered="1"/>
  <pageMargins left="0.78740157480314965" right="0.78740157480314965" top="0.6692913385826772" bottom="0.47244094488188981" header="0.39370078740157483" footer="0.19685039370078741"/>
  <pageSetup paperSize="9" scale="65" fitToWidth="3" fitToHeight="2" orientation="portrait" r:id="rId1"/>
  <headerFooter alignWithMargins="0"/>
  <rowBreaks count="1" manualBreakCount="1">
    <brk id="92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Munka69">
    <tabColor rgb="FF92D050"/>
  </sheetPr>
  <dimension ref="A1:J18"/>
  <sheetViews>
    <sheetView zoomScale="120" zoomScaleNormal="120" workbookViewId="0">
      <selection activeCell="A2" sqref="A2:I18"/>
    </sheetView>
  </sheetViews>
  <sheetFormatPr defaultColWidth="9.33203125" defaultRowHeight="13.2" x14ac:dyDescent="0.25"/>
  <cols>
    <col min="1" max="1" width="6.77734375" style="19" customWidth="1"/>
    <col min="2" max="2" width="44.6640625" style="18" customWidth="1"/>
    <col min="3" max="8" width="12.77734375" style="18" customWidth="1"/>
    <col min="9" max="9" width="14.33203125" style="18" customWidth="1"/>
    <col min="10" max="10" width="4.33203125" style="18" customWidth="1"/>
    <col min="11" max="16384" width="9.33203125" style="18"/>
  </cols>
  <sheetData>
    <row r="1" spans="1:10" ht="27.75" customHeight="1" x14ac:dyDescent="0.25">
      <c r="A1" s="703" t="s">
        <v>3</v>
      </c>
      <c r="B1" s="703"/>
      <c r="C1" s="703"/>
      <c r="D1" s="703"/>
      <c r="E1" s="703"/>
      <c r="F1" s="703"/>
      <c r="G1" s="703"/>
      <c r="H1" s="703"/>
      <c r="I1" s="703"/>
      <c r="J1" s="746" t="s">
        <v>699</v>
      </c>
    </row>
    <row r="2" spans="1:10" ht="20.399999999999999" customHeight="1" thickBot="1" x14ac:dyDescent="0.3">
      <c r="I2" s="20" t="str">
        <f>'KV_12.sz.mell'!E5</f>
        <v>Forintban</v>
      </c>
      <c r="J2" s="746"/>
    </row>
    <row r="3" spans="1:10" s="239" customFormat="1" ht="26.4" customHeight="1" x14ac:dyDescent="0.25">
      <c r="A3" s="754" t="s">
        <v>60</v>
      </c>
      <c r="B3" s="749" t="s">
        <v>76</v>
      </c>
      <c r="C3" s="754" t="s">
        <v>77</v>
      </c>
      <c r="D3" s="754" t="str">
        <f>+CONCATENATE(LEFT(KV_ÖSSZEFÜGGÉSEK!A5,4)," előtti kifizetés")</f>
        <v>2025 előtti kifizetés</v>
      </c>
      <c r="E3" s="751" t="s">
        <v>59</v>
      </c>
      <c r="F3" s="752"/>
      <c r="G3" s="752"/>
      <c r="H3" s="753"/>
      <c r="I3" s="749" t="s">
        <v>46</v>
      </c>
      <c r="J3" s="746"/>
    </row>
    <row r="4" spans="1:10" s="240" customFormat="1" ht="32.4" customHeight="1" thickBot="1" x14ac:dyDescent="0.3">
      <c r="A4" s="755"/>
      <c r="B4" s="750"/>
      <c r="C4" s="750"/>
      <c r="D4" s="755"/>
      <c r="E4" s="156" t="str">
        <f>+CONCATENATE(LEFT(KV_ÖSSZEFÜGGÉSEK!A5,4),".")</f>
        <v>2025.</v>
      </c>
      <c r="F4" s="156" t="str">
        <f>+CONCATENATE(LEFT(KV_ÖSSZEFÜGGÉSEK!A5,4)+1,".")</f>
        <v>2026.</v>
      </c>
      <c r="G4" s="156" t="str">
        <f>+CONCATENATE(LEFT(KV_ÖSSZEFÜGGÉSEK!A5,4)+2,".")</f>
        <v>2027.</v>
      </c>
      <c r="H4" s="157" t="str">
        <f>+CONCATENATE(LEFT(KV_ÖSSZEFÜGGÉSEK!A5,4)+2,".",CHAR(10)," után")</f>
        <v>2027.
 után</v>
      </c>
      <c r="I4" s="750"/>
      <c r="J4" s="746"/>
    </row>
    <row r="5" spans="1:10" s="241" customFormat="1" ht="12.9" customHeight="1" thickBot="1" x14ac:dyDescent="0.3">
      <c r="A5" s="158" t="s">
        <v>281</v>
      </c>
      <c r="B5" s="159" t="s">
        <v>282</v>
      </c>
      <c r="C5" s="160" t="s">
        <v>283</v>
      </c>
      <c r="D5" s="159" t="s">
        <v>285</v>
      </c>
      <c r="E5" s="158" t="s">
        <v>284</v>
      </c>
      <c r="F5" s="160" t="s">
        <v>286</v>
      </c>
      <c r="G5" s="160" t="s">
        <v>287</v>
      </c>
      <c r="H5" s="161" t="s">
        <v>288</v>
      </c>
      <c r="I5" s="162" t="s">
        <v>289</v>
      </c>
      <c r="J5" s="746"/>
    </row>
    <row r="6" spans="1:10" ht="24.75" customHeight="1" thickBot="1" x14ac:dyDescent="0.3">
      <c r="A6" s="163" t="s">
        <v>16</v>
      </c>
      <c r="B6" s="467" t="s">
        <v>4</v>
      </c>
      <c r="C6" s="254"/>
      <c r="D6" s="255">
        <f>+D7+D8</f>
        <v>0</v>
      </c>
      <c r="E6" s="256">
        <f>+E7+E8</f>
        <v>0</v>
      </c>
      <c r="F6" s="257">
        <f>+F7+F8</f>
        <v>0</v>
      </c>
      <c r="G6" s="257">
        <f>+G7+G8</f>
        <v>0</v>
      </c>
      <c r="H6" s="258">
        <f>+H7+H8</f>
        <v>0</v>
      </c>
      <c r="I6" s="39">
        <f t="shared" ref="I6:I17" si="0">SUM(D6:H6)</f>
        <v>0</v>
      </c>
      <c r="J6" s="746"/>
    </row>
    <row r="7" spans="1:10" ht="20.100000000000001" customHeight="1" x14ac:dyDescent="0.25">
      <c r="A7" s="164" t="s">
        <v>17</v>
      </c>
      <c r="B7" s="468" t="s">
        <v>61</v>
      </c>
      <c r="C7" s="259"/>
      <c r="D7" s="260"/>
      <c r="E7" s="261"/>
      <c r="F7" s="262"/>
      <c r="G7" s="262"/>
      <c r="H7" s="263"/>
      <c r="I7" s="165">
        <f t="shared" si="0"/>
        <v>0</v>
      </c>
      <c r="J7" s="746"/>
    </row>
    <row r="8" spans="1:10" ht="20.100000000000001" customHeight="1" thickBot="1" x14ac:dyDescent="0.3">
      <c r="A8" s="164" t="s">
        <v>18</v>
      </c>
      <c r="B8" s="468" t="s">
        <v>61</v>
      </c>
      <c r="C8" s="259"/>
      <c r="D8" s="260"/>
      <c r="E8" s="261"/>
      <c r="F8" s="262"/>
      <c r="G8" s="262"/>
      <c r="H8" s="263"/>
      <c r="I8" s="165">
        <f t="shared" si="0"/>
        <v>0</v>
      </c>
      <c r="J8" s="746"/>
    </row>
    <row r="9" spans="1:10" ht="26.1" customHeight="1" thickBot="1" x14ac:dyDescent="0.3">
      <c r="A9" s="163" t="s">
        <v>19</v>
      </c>
      <c r="B9" s="467" t="s">
        <v>5</v>
      </c>
      <c r="C9" s="254"/>
      <c r="D9" s="255">
        <f>+D10+D11</f>
        <v>0</v>
      </c>
      <c r="E9" s="256">
        <f>+E10+E11</f>
        <v>0</v>
      </c>
      <c r="F9" s="257">
        <f>+F10+F11</f>
        <v>0</v>
      </c>
      <c r="G9" s="257">
        <f>+G10+G11</f>
        <v>0</v>
      </c>
      <c r="H9" s="258">
        <f>+H10+H11</f>
        <v>0</v>
      </c>
      <c r="I9" s="39">
        <f t="shared" si="0"/>
        <v>0</v>
      </c>
      <c r="J9" s="746"/>
    </row>
    <row r="10" spans="1:10" ht="20.100000000000001" customHeight="1" x14ac:dyDescent="0.25">
      <c r="A10" s="164" t="s">
        <v>20</v>
      </c>
      <c r="B10" s="468" t="s">
        <v>61</v>
      </c>
      <c r="C10" s="259"/>
      <c r="D10" s="260"/>
      <c r="E10" s="261"/>
      <c r="F10" s="262"/>
      <c r="G10" s="262"/>
      <c r="H10" s="263"/>
      <c r="I10" s="165">
        <f t="shared" si="0"/>
        <v>0</v>
      </c>
      <c r="J10" s="746"/>
    </row>
    <row r="11" spans="1:10" ht="20.100000000000001" customHeight="1" thickBot="1" x14ac:dyDescent="0.3">
      <c r="A11" s="164" t="s">
        <v>21</v>
      </c>
      <c r="B11" s="468" t="s">
        <v>61</v>
      </c>
      <c r="C11" s="259"/>
      <c r="D11" s="260"/>
      <c r="E11" s="261"/>
      <c r="F11" s="262"/>
      <c r="G11" s="262"/>
      <c r="H11" s="263"/>
      <c r="I11" s="165">
        <f t="shared" si="0"/>
        <v>0</v>
      </c>
      <c r="J11" s="746"/>
    </row>
    <row r="12" spans="1:10" ht="20.100000000000001" customHeight="1" thickBot="1" x14ac:dyDescent="0.3">
      <c r="A12" s="163" t="s">
        <v>22</v>
      </c>
      <c r="B12" s="467" t="s">
        <v>138</v>
      </c>
      <c r="C12" s="254"/>
      <c r="D12" s="255">
        <f>+D13</f>
        <v>175591189</v>
      </c>
      <c r="E12" s="256">
        <f>+E13</f>
        <v>123204931</v>
      </c>
      <c r="F12" s="257">
        <f>+F13</f>
        <v>0</v>
      </c>
      <c r="G12" s="257">
        <f>+G13</f>
        <v>0</v>
      </c>
      <c r="H12" s="258">
        <f>+H13</f>
        <v>0</v>
      </c>
      <c r="I12" s="39">
        <f t="shared" si="0"/>
        <v>298796120</v>
      </c>
      <c r="J12" s="746"/>
    </row>
    <row r="13" spans="1:10" ht="20.100000000000001" customHeight="1" thickBot="1" x14ac:dyDescent="0.3">
      <c r="A13" s="164" t="s">
        <v>23</v>
      </c>
      <c r="B13" s="468" t="s">
        <v>650</v>
      </c>
      <c r="C13" s="259" t="s">
        <v>651</v>
      </c>
      <c r="D13" s="260">
        <v>175591189</v>
      </c>
      <c r="E13" s="261">
        <v>123204931</v>
      </c>
      <c r="F13" s="262"/>
      <c r="G13" s="262"/>
      <c r="H13" s="263"/>
      <c r="I13" s="165">
        <f t="shared" si="0"/>
        <v>298796120</v>
      </c>
      <c r="J13" s="746"/>
    </row>
    <row r="14" spans="1:10" ht="20.100000000000001" customHeight="1" thickBot="1" x14ac:dyDescent="0.3">
      <c r="A14" s="163" t="s">
        <v>24</v>
      </c>
      <c r="B14" s="467" t="s">
        <v>139</v>
      </c>
      <c r="C14" s="254"/>
      <c r="D14" s="255">
        <f>+D15</f>
        <v>0</v>
      </c>
      <c r="E14" s="256">
        <f>+E15</f>
        <v>0</v>
      </c>
      <c r="F14" s="257">
        <f>+F15</f>
        <v>0</v>
      </c>
      <c r="G14" s="257">
        <f>+G15</f>
        <v>0</v>
      </c>
      <c r="H14" s="258">
        <f>+H15</f>
        <v>0</v>
      </c>
      <c r="I14" s="39">
        <f t="shared" si="0"/>
        <v>0</v>
      </c>
      <c r="J14" s="746"/>
    </row>
    <row r="15" spans="1:10" ht="20.100000000000001" customHeight="1" thickBot="1" x14ac:dyDescent="0.3">
      <c r="A15" s="166" t="s">
        <v>25</v>
      </c>
      <c r="B15" s="469" t="s">
        <v>61</v>
      </c>
      <c r="C15" s="264"/>
      <c r="D15" s="265"/>
      <c r="E15" s="266"/>
      <c r="F15" s="267"/>
      <c r="G15" s="267"/>
      <c r="H15" s="268"/>
      <c r="I15" s="167">
        <f t="shared" si="0"/>
        <v>0</v>
      </c>
      <c r="J15" s="746"/>
    </row>
    <row r="16" spans="1:10" ht="20.100000000000001" customHeight="1" thickBot="1" x14ac:dyDescent="0.3">
      <c r="A16" s="163" t="s">
        <v>26</v>
      </c>
      <c r="B16" s="470" t="s">
        <v>140</v>
      </c>
      <c r="C16" s="254"/>
      <c r="D16" s="255">
        <f>+D17</f>
        <v>0</v>
      </c>
      <c r="E16" s="256">
        <f>+E17</f>
        <v>0</v>
      </c>
      <c r="F16" s="257">
        <f>+F17</f>
        <v>0</v>
      </c>
      <c r="G16" s="257">
        <f>+G17</f>
        <v>0</v>
      </c>
      <c r="H16" s="258">
        <f>+H17</f>
        <v>0</v>
      </c>
      <c r="I16" s="39">
        <f t="shared" si="0"/>
        <v>0</v>
      </c>
      <c r="J16" s="746"/>
    </row>
    <row r="17" spans="1:10" ht="20.100000000000001" customHeight="1" thickBot="1" x14ac:dyDescent="0.3">
      <c r="A17" s="168" t="s">
        <v>27</v>
      </c>
      <c r="B17" s="471" t="s">
        <v>61</v>
      </c>
      <c r="C17" s="269"/>
      <c r="D17" s="270"/>
      <c r="E17" s="271"/>
      <c r="F17" s="272"/>
      <c r="G17" s="272"/>
      <c r="H17" s="273"/>
      <c r="I17" s="169">
        <f t="shared" si="0"/>
        <v>0</v>
      </c>
      <c r="J17" s="746"/>
    </row>
    <row r="18" spans="1:10" ht="20.100000000000001" customHeight="1" thickBot="1" x14ac:dyDescent="0.3">
      <c r="A18" s="747" t="s">
        <v>101</v>
      </c>
      <c r="B18" s="748"/>
      <c r="C18" s="472"/>
      <c r="D18" s="255">
        <f t="shared" ref="D18:I18" si="1">+D6+D9+D12+D14+D16</f>
        <v>175591189</v>
      </c>
      <c r="E18" s="256">
        <f t="shared" si="1"/>
        <v>123204931</v>
      </c>
      <c r="F18" s="257">
        <f t="shared" si="1"/>
        <v>0</v>
      </c>
      <c r="G18" s="257">
        <f t="shared" si="1"/>
        <v>0</v>
      </c>
      <c r="H18" s="258">
        <f t="shared" si="1"/>
        <v>0</v>
      </c>
      <c r="I18" s="39">
        <f t="shared" si="1"/>
        <v>298796120</v>
      </c>
      <c r="J18" s="746"/>
    </row>
  </sheetData>
  <mergeCells count="9">
    <mergeCell ref="J1:J18"/>
    <mergeCell ref="A1:I1"/>
    <mergeCell ref="A18:B18"/>
    <mergeCell ref="I3:I4"/>
    <mergeCell ref="E3:H3"/>
    <mergeCell ref="A3:A4"/>
    <mergeCell ref="B3:B4"/>
    <mergeCell ref="C3:C4"/>
    <mergeCell ref="D3:D4"/>
  </mergeCells>
  <phoneticPr fontId="0" type="noConversion"/>
  <printOptions horizontalCentered="1"/>
  <pageMargins left="0.78740157480314965" right="0.78740157480314965" top="1.03" bottom="0.98425196850393704" header="0.78740157480314965" footer="0.78740157480314965"/>
  <pageSetup paperSize="9" scale="95" orientation="landscape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unka70">
    <tabColor rgb="FF92D050"/>
  </sheetPr>
  <dimension ref="A1:D33"/>
  <sheetViews>
    <sheetView zoomScale="120" zoomScaleNormal="120" workbookViewId="0">
      <selection activeCell="A4" sqref="A4:D32"/>
    </sheetView>
  </sheetViews>
  <sheetFormatPr defaultColWidth="9.33203125" defaultRowHeight="13.2" x14ac:dyDescent="0.25"/>
  <cols>
    <col min="1" max="1" width="5.77734375" style="53" customWidth="1"/>
    <col min="2" max="2" width="54.77734375" style="2" customWidth="1"/>
    <col min="3" max="4" width="17.6640625" style="2" customWidth="1"/>
    <col min="5" max="16384" width="9.33203125" style="2"/>
  </cols>
  <sheetData>
    <row r="1" spans="1:4" ht="14.85" customHeight="1" x14ac:dyDescent="0.25">
      <c r="D1" s="316" t="s">
        <v>700</v>
      </c>
    </row>
    <row r="3" spans="1:4" ht="31.5" customHeight="1" x14ac:dyDescent="0.3">
      <c r="B3" s="757" t="s">
        <v>6</v>
      </c>
      <c r="C3" s="757"/>
      <c r="D3" s="757"/>
    </row>
    <row r="4" spans="1:4" s="41" customFormat="1" ht="16.2" thickBot="1" x14ac:dyDescent="0.35">
      <c r="A4" s="40"/>
      <c r="B4" s="213"/>
      <c r="D4" s="20" t="str">
        <f>'KV_13.sz.mell'!I2</f>
        <v>Forintban</v>
      </c>
    </row>
    <row r="5" spans="1:4" s="43" customFormat="1" ht="48" customHeight="1" thickBot="1" x14ac:dyDescent="0.3">
      <c r="A5" s="42" t="s">
        <v>14</v>
      </c>
      <c r="B5" s="123" t="s">
        <v>15</v>
      </c>
      <c r="C5" s="123" t="s">
        <v>62</v>
      </c>
      <c r="D5" s="124" t="s">
        <v>63</v>
      </c>
    </row>
    <row r="6" spans="1:4" s="43" customFormat="1" ht="14.1" customHeight="1" thickBot="1" x14ac:dyDescent="0.3">
      <c r="A6" s="12" t="s">
        <v>281</v>
      </c>
      <c r="B6" s="125" t="s">
        <v>282</v>
      </c>
      <c r="C6" s="125" t="s">
        <v>283</v>
      </c>
      <c r="D6" s="126" t="s">
        <v>285</v>
      </c>
    </row>
    <row r="7" spans="1:4" ht="18" customHeight="1" x14ac:dyDescent="0.25">
      <c r="A7" s="84" t="s">
        <v>16</v>
      </c>
      <c r="B7" s="127" t="s">
        <v>118</v>
      </c>
      <c r="C7" s="82"/>
      <c r="D7" s="44"/>
    </row>
    <row r="8" spans="1:4" ht="18" customHeight="1" x14ac:dyDescent="0.25">
      <c r="A8" s="45" t="s">
        <v>17</v>
      </c>
      <c r="B8" s="128" t="s">
        <v>119</v>
      </c>
      <c r="C8" s="83"/>
      <c r="D8" s="47"/>
    </row>
    <row r="9" spans="1:4" ht="18" customHeight="1" x14ac:dyDescent="0.25">
      <c r="A9" s="45" t="s">
        <v>18</v>
      </c>
      <c r="B9" s="128" t="s">
        <v>81</v>
      </c>
      <c r="C9" s="83"/>
      <c r="D9" s="47"/>
    </row>
    <row r="10" spans="1:4" ht="18" customHeight="1" x14ac:dyDescent="0.25">
      <c r="A10" s="45" t="s">
        <v>19</v>
      </c>
      <c r="B10" s="128" t="s">
        <v>82</v>
      </c>
      <c r="C10" s="83"/>
      <c r="D10" s="47"/>
    </row>
    <row r="11" spans="1:4" ht="18" customHeight="1" x14ac:dyDescent="0.25">
      <c r="A11" s="45" t="s">
        <v>20</v>
      </c>
      <c r="B11" s="128" t="s">
        <v>111</v>
      </c>
      <c r="C11" s="83"/>
      <c r="D11" s="47"/>
    </row>
    <row r="12" spans="1:4" ht="18" customHeight="1" x14ac:dyDescent="0.25">
      <c r="A12" s="45" t="s">
        <v>21</v>
      </c>
      <c r="B12" s="128" t="s">
        <v>112</v>
      </c>
      <c r="C12" s="83"/>
      <c r="D12" s="47"/>
    </row>
    <row r="13" spans="1:4" ht="18" customHeight="1" x14ac:dyDescent="0.25">
      <c r="A13" s="45" t="s">
        <v>22</v>
      </c>
      <c r="B13" s="129" t="s">
        <v>113</v>
      </c>
      <c r="C13" s="83"/>
      <c r="D13" s="47"/>
    </row>
    <row r="14" spans="1:4" ht="18" customHeight="1" x14ac:dyDescent="0.25">
      <c r="A14" s="45" t="s">
        <v>24</v>
      </c>
      <c r="B14" s="129" t="s">
        <v>114</v>
      </c>
      <c r="C14" s="83"/>
      <c r="D14" s="47"/>
    </row>
    <row r="15" spans="1:4" ht="18" customHeight="1" x14ac:dyDescent="0.25">
      <c r="A15" s="45" t="s">
        <v>25</v>
      </c>
      <c r="B15" s="129" t="s">
        <v>115</v>
      </c>
      <c r="C15" s="83"/>
      <c r="D15" s="47"/>
    </row>
    <row r="16" spans="1:4" ht="18" customHeight="1" x14ac:dyDescent="0.25">
      <c r="A16" s="45" t="s">
        <v>26</v>
      </c>
      <c r="B16" s="129" t="s">
        <v>116</v>
      </c>
      <c r="C16" s="83"/>
      <c r="D16" s="47"/>
    </row>
    <row r="17" spans="1:4" ht="22.5" customHeight="1" x14ac:dyDescent="0.25">
      <c r="A17" s="45" t="s">
        <v>27</v>
      </c>
      <c r="B17" s="129" t="s">
        <v>117</v>
      </c>
      <c r="C17" s="83"/>
      <c r="D17" s="47"/>
    </row>
    <row r="18" spans="1:4" ht="18" customHeight="1" x14ac:dyDescent="0.25">
      <c r="A18" s="45" t="s">
        <v>28</v>
      </c>
      <c r="B18" s="128" t="s">
        <v>83</v>
      </c>
      <c r="C18" s="83"/>
      <c r="D18" s="47"/>
    </row>
    <row r="19" spans="1:4" ht="18" customHeight="1" x14ac:dyDescent="0.25">
      <c r="A19" s="45" t="s">
        <v>29</v>
      </c>
      <c r="B19" s="128" t="s">
        <v>8</v>
      </c>
      <c r="C19" s="83"/>
      <c r="D19" s="47"/>
    </row>
    <row r="20" spans="1:4" ht="18" customHeight="1" x14ac:dyDescent="0.25">
      <c r="A20" s="45" t="s">
        <v>30</v>
      </c>
      <c r="B20" s="128" t="s">
        <v>7</v>
      </c>
      <c r="C20" s="83"/>
      <c r="D20" s="47"/>
    </row>
    <row r="21" spans="1:4" ht="18" customHeight="1" x14ac:dyDescent="0.25">
      <c r="A21" s="45" t="s">
        <v>31</v>
      </c>
      <c r="B21" s="128" t="s">
        <v>84</v>
      </c>
      <c r="C21" s="83"/>
      <c r="D21" s="47"/>
    </row>
    <row r="22" spans="1:4" ht="18" customHeight="1" x14ac:dyDescent="0.25">
      <c r="A22" s="45" t="s">
        <v>32</v>
      </c>
      <c r="B22" s="128" t="s">
        <v>85</v>
      </c>
      <c r="C22" s="83"/>
      <c r="D22" s="47"/>
    </row>
    <row r="23" spans="1:4" ht="18" customHeight="1" x14ac:dyDescent="0.25">
      <c r="A23" s="45" t="s">
        <v>33</v>
      </c>
      <c r="B23" s="75"/>
      <c r="C23" s="46"/>
      <c r="D23" s="47"/>
    </row>
    <row r="24" spans="1:4" ht="18" customHeight="1" x14ac:dyDescent="0.25">
      <c r="A24" s="45" t="s">
        <v>34</v>
      </c>
      <c r="B24" s="48"/>
      <c r="C24" s="46"/>
      <c r="D24" s="47"/>
    </row>
    <row r="25" spans="1:4" ht="18" customHeight="1" x14ac:dyDescent="0.25">
      <c r="A25" s="45" t="s">
        <v>35</v>
      </c>
      <c r="B25" s="48"/>
      <c r="C25" s="46"/>
      <c r="D25" s="47"/>
    </row>
    <row r="26" spans="1:4" ht="18" customHeight="1" x14ac:dyDescent="0.25">
      <c r="A26" s="45" t="s">
        <v>36</v>
      </c>
      <c r="B26" s="48"/>
      <c r="C26" s="46"/>
      <c r="D26" s="47"/>
    </row>
    <row r="27" spans="1:4" ht="18" customHeight="1" x14ac:dyDescent="0.25">
      <c r="A27" s="45" t="s">
        <v>37</v>
      </c>
      <c r="B27" s="48"/>
      <c r="C27" s="46"/>
      <c r="D27" s="47"/>
    </row>
    <row r="28" spans="1:4" ht="18" customHeight="1" x14ac:dyDescent="0.25">
      <c r="A28" s="45" t="s">
        <v>38</v>
      </c>
      <c r="B28" s="48"/>
      <c r="C28" s="46"/>
      <c r="D28" s="47"/>
    </row>
    <row r="29" spans="1:4" ht="18" customHeight="1" x14ac:dyDescent="0.25">
      <c r="A29" s="45" t="s">
        <v>39</v>
      </c>
      <c r="B29" s="48"/>
      <c r="C29" s="46"/>
      <c r="D29" s="47"/>
    </row>
    <row r="30" spans="1:4" ht="18" customHeight="1" x14ac:dyDescent="0.25">
      <c r="A30" s="45" t="s">
        <v>40</v>
      </c>
      <c r="B30" s="48"/>
      <c r="C30" s="46"/>
      <c r="D30" s="47"/>
    </row>
    <row r="31" spans="1:4" ht="18" customHeight="1" thickBot="1" x14ac:dyDescent="0.3">
      <c r="A31" s="85" t="s">
        <v>41</v>
      </c>
      <c r="B31" s="49"/>
      <c r="C31" s="50"/>
      <c r="D31" s="51"/>
    </row>
    <row r="32" spans="1:4" ht="18" customHeight="1" thickBot="1" x14ac:dyDescent="0.3">
      <c r="A32" s="13" t="s">
        <v>42</v>
      </c>
      <c r="B32" s="132" t="s">
        <v>48</v>
      </c>
      <c r="C32" s="133">
        <f>+C7+C8+C9+C10+C11+C18+C19+C20+C21+C22+C23+C24+C25+C26+C27+C28+C29+C30+C31</f>
        <v>0</v>
      </c>
      <c r="D32" s="134">
        <f>+D7+D8+D9+D10+D11+D18+D19+D20+D21+D22+D23+D24+D25+D26+D27+D28+D29+D30+D31</f>
        <v>0</v>
      </c>
    </row>
    <row r="33" spans="1:4" ht="8.4" customHeight="1" x14ac:dyDescent="0.25">
      <c r="A33" s="52"/>
      <c r="B33" s="756"/>
      <c r="C33" s="756"/>
      <c r="D33" s="756"/>
    </row>
  </sheetData>
  <mergeCells count="2">
    <mergeCell ref="B33:D33"/>
    <mergeCell ref="B3:D3"/>
  </mergeCells>
  <phoneticPr fontId="28" type="noConversion"/>
  <printOptions horizontalCentered="1"/>
  <pageMargins left="0.78740157480314965" right="0.78740157480314965" top="1.06" bottom="0.98425196850393704" header="0.78740157480314965" footer="0.78740157480314965"/>
  <pageSetup paperSize="9" scale="95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unka25">
    <tabColor rgb="FF92D050"/>
  </sheetPr>
  <dimension ref="A1:O81"/>
  <sheetViews>
    <sheetView zoomScale="120" zoomScaleNormal="120" workbookViewId="0">
      <selection activeCell="A3" sqref="A3:O26"/>
    </sheetView>
  </sheetViews>
  <sheetFormatPr defaultColWidth="9.33203125" defaultRowHeight="15.6" x14ac:dyDescent="0.3"/>
  <cols>
    <col min="1" max="1" width="6.109375" style="57" customWidth="1"/>
    <col min="2" max="2" width="31.109375" style="68" customWidth="1"/>
    <col min="3" max="4" width="9" style="68" customWidth="1"/>
    <col min="5" max="5" width="9.44140625" style="68" customWidth="1"/>
    <col min="6" max="6" width="8.77734375" style="68" customWidth="1"/>
    <col min="7" max="7" width="8.6640625" style="68" customWidth="1"/>
    <col min="8" max="8" width="8.77734375" style="68" customWidth="1"/>
    <col min="9" max="9" width="8.109375" style="68" customWidth="1"/>
    <col min="10" max="14" width="9.44140625" style="68" customWidth="1"/>
    <col min="15" max="15" width="12.6640625" style="57" customWidth="1"/>
    <col min="16" max="16384" width="9.33203125" style="68"/>
  </cols>
  <sheetData>
    <row r="1" spans="1:15" x14ac:dyDescent="0.3">
      <c r="M1" s="311"/>
      <c r="N1"/>
      <c r="O1" s="316" t="s">
        <v>701</v>
      </c>
    </row>
    <row r="2" spans="1:15" ht="31.5" customHeight="1" x14ac:dyDescent="0.3">
      <c r="A2" s="761" t="str">
        <f>+CONCATENATE("Előirányzat-felhasználási terv",CHAR(10),LEFT(KV_ÖSSZEFÜGGÉSEK!A5,4),". évre")</f>
        <v>Előirányzat-felhasználási terv
2025. évre</v>
      </c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  <c r="O2" s="762"/>
    </row>
    <row r="3" spans="1:15" ht="16.2" thickBot="1" x14ac:dyDescent="0.35">
      <c r="O3" s="3" t="str">
        <f>'KV_14.sz.mell'!D4</f>
        <v>Forintban</v>
      </c>
    </row>
    <row r="4" spans="1:15" s="57" customFormat="1" ht="26.1" customHeight="1" thickBot="1" x14ac:dyDescent="0.35">
      <c r="A4" s="520" t="s">
        <v>14</v>
      </c>
      <c r="B4" s="55" t="s">
        <v>52</v>
      </c>
      <c r="C4" s="55" t="s">
        <v>64</v>
      </c>
      <c r="D4" s="55" t="s">
        <v>65</v>
      </c>
      <c r="E4" s="55" t="s">
        <v>66</v>
      </c>
      <c r="F4" s="55" t="s">
        <v>67</v>
      </c>
      <c r="G4" s="55" t="s">
        <v>68</v>
      </c>
      <c r="H4" s="55" t="s">
        <v>69</v>
      </c>
      <c r="I4" s="55" t="s">
        <v>70</v>
      </c>
      <c r="J4" s="55" t="s">
        <v>71</v>
      </c>
      <c r="K4" s="55" t="s">
        <v>72</v>
      </c>
      <c r="L4" s="55" t="s">
        <v>73</v>
      </c>
      <c r="M4" s="55" t="s">
        <v>74</v>
      </c>
      <c r="N4" s="55" t="s">
        <v>75</v>
      </c>
      <c r="O4" s="56" t="s">
        <v>48</v>
      </c>
    </row>
    <row r="5" spans="1:15" s="59" customFormat="1" ht="15.15" customHeight="1" thickBot="1" x14ac:dyDescent="0.3">
      <c r="A5" s="58" t="s">
        <v>16</v>
      </c>
      <c r="B5" s="758" t="s">
        <v>50</v>
      </c>
      <c r="C5" s="759"/>
      <c r="D5" s="759"/>
      <c r="E5" s="759"/>
      <c r="F5" s="759"/>
      <c r="G5" s="759"/>
      <c r="H5" s="759"/>
      <c r="I5" s="759"/>
      <c r="J5" s="759"/>
      <c r="K5" s="759"/>
      <c r="L5" s="759"/>
      <c r="M5" s="759"/>
      <c r="N5" s="759"/>
      <c r="O5" s="760"/>
    </row>
    <row r="6" spans="1:15" s="62" customFormat="1" x14ac:dyDescent="0.25">
      <c r="A6" s="60" t="s">
        <v>17</v>
      </c>
      <c r="B6" s="172" t="s">
        <v>250</v>
      </c>
      <c r="C6" s="274">
        <v>2358576</v>
      </c>
      <c r="D6" s="274">
        <v>2358576</v>
      </c>
      <c r="E6" s="274">
        <v>2358576</v>
      </c>
      <c r="F6" s="274">
        <v>2358576</v>
      </c>
      <c r="G6" s="274">
        <v>2358576</v>
      </c>
      <c r="H6" s="274">
        <v>2358576</v>
      </c>
      <c r="I6" s="274">
        <v>2358576</v>
      </c>
      <c r="J6" s="274">
        <v>2358576</v>
      </c>
      <c r="K6" s="274">
        <v>2358576</v>
      </c>
      <c r="L6" s="274">
        <v>2358576</v>
      </c>
      <c r="M6" s="274">
        <v>2358576</v>
      </c>
      <c r="N6" s="274">
        <v>2358576</v>
      </c>
      <c r="O6" s="61">
        <f t="shared" ref="O6:O25" si="0">SUM(C6:N6)</f>
        <v>28302912</v>
      </c>
    </row>
    <row r="7" spans="1:15" s="62" customFormat="1" x14ac:dyDescent="0.25">
      <c r="A7" s="60" t="s">
        <v>18</v>
      </c>
      <c r="B7" s="171" t="s">
        <v>251</v>
      </c>
      <c r="C7" s="275">
        <v>37785238</v>
      </c>
      <c r="D7" s="275"/>
      <c r="E7" s="275">
        <v>67116482</v>
      </c>
      <c r="F7" s="275"/>
      <c r="G7" s="275"/>
      <c r="H7" s="275"/>
      <c r="I7" s="275"/>
      <c r="J7" s="275"/>
      <c r="K7" s="275"/>
      <c r="L7" s="275"/>
      <c r="M7" s="275"/>
      <c r="N7" s="275"/>
      <c r="O7" s="63">
        <f t="shared" si="0"/>
        <v>104901720</v>
      </c>
    </row>
    <row r="8" spans="1:15" s="62" customFormat="1" ht="14.1" customHeight="1" x14ac:dyDescent="0.25">
      <c r="A8" s="60" t="s">
        <v>19</v>
      </c>
      <c r="B8" s="170" t="s">
        <v>122</v>
      </c>
      <c r="C8" s="274"/>
      <c r="D8" s="274"/>
      <c r="E8" s="274">
        <v>26400000</v>
      </c>
      <c r="F8" s="274"/>
      <c r="G8" s="274"/>
      <c r="H8" s="274"/>
      <c r="I8" s="274"/>
      <c r="J8" s="274"/>
      <c r="K8" s="274">
        <v>26400000</v>
      </c>
      <c r="L8" s="274"/>
      <c r="M8" s="274"/>
      <c r="N8" s="274"/>
      <c r="O8" s="61">
        <f t="shared" si="0"/>
        <v>52800000</v>
      </c>
    </row>
    <row r="9" spans="1:15" s="62" customFormat="1" ht="14.1" customHeight="1" x14ac:dyDescent="0.25">
      <c r="A9" s="60" t="s">
        <v>20</v>
      </c>
      <c r="B9" s="170" t="s">
        <v>252</v>
      </c>
      <c r="C9" s="274">
        <v>468833</v>
      </c>
      <c r="D9" s="274">
        <v>468833</v>
      </c>
      <c r="E9" s="274">
        <v>468833</v>
      </c>
      <c r="F9" s="274">
        <v>468833</v>
      </c>
      <c r="G9" s="274">
        <v>468833</v>
      </c>
      <c r="H9" s="274">
        <v>468833</v>
      </c>
      <c r="I9" s="274">
        <v>468833</v>
      </c>
      <c r="J9" s="274">
        <v>468833</v>
      </c>
      <c r="K9" s="274">
        <v>468834</v>
      </c>
      <c r="L9" s="274">
        <v>468834</v>
      </c>
      <c r="M9" s="274">
        <v>468834</v>
      </c>
      <c r="N9" s="274">
        <v>468834</v>
      </c>
      <c r="O9" s="61">
        <f t="shared" si="0"/>
        <v>5626000</v>
      </c>
    </row>
    <row r="10" spans="1:15" s="62" customFormat="1" ht="14.1" customHeight="1" x14ac:dyDescent="0.25">
      <c r="A10" s="60" t="s">
        <v>21</v>
      </c>
      <c r="B10" s="170" t="s">
        <v>9</v>
      </c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61">
        <f t="shared" si="0"/>
        <v>0</v>
      </c>
    </row>
    <row r="11" spans="1:15" s="62" customFormat="1" ht="14.1" customHeight="1" x14ac:dyDescent="0.25">
      <c r="A11" s="60" t="s">
        <v>22</v>
      </c>
      <c r="B11" s="170" t="s">
        <v>236</v>
      </c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61">
        <f t="shared" si="0"/>
        <v>0</v>
      </c>
    </row>
    <row r="12" spans="1:15" s="62" customFormat="1" x14ac:dyDescent="0.25">
      <c r="A12" s="60" t="s">
        <v>23</v>
      </c>
      <c r="B12" s="172" t="s">
        <v>249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61">
        <f t="shared" si="0"/>
        <v>0</v>
      </c>
    </row>
    <row r="13" spans="1:15" s="62" customFormat="1" ht="14.1" customHeight="1" thickBot="1" x14ac:dyDescent="0.3">
      <c r="A13" s="60" t="s">
        <v>24</v>
      </c>
      <c r="B13" s="170" t="s">
        <v>10</v>
      </c>
      <c r="C13" s="274"/>
      <c r="D13" s="274">
        <v>29029186</v>
      </c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61">
        <f t="shared" si="0"/>
        <v>29029186</v>
      </c>
    </row>
    <row r="14" spans="1:15" s="59" customFormat="1" ht="15.9" customHeight="1" thickBot="1" x14ac:dyDescent="0.3">
      <c r="A14" s="522" t="s">
        <v>25</v>
      </c>
      <c r="B14" s="14" t="s">
        <v>78</v>
      </c>
      <c r="C14" s="276">
        <f t="shared" ref="C14:N14" si="1">SUM(C6:C13)</f>
        <v>40612647</v>
      </c>
      <c r="D14" s="276">
        <f t="shared" si="1"/>
        <v>31856595</v>
      </c>
      <c r="E14" s="276">
        <f t="shared" si="1"/>
        <v>96343891</v>
      </c>
      <c r="F14" s="276">
        <f t="shared" si="1"/>
        <v>2827409</v>
      </c>
      <c r="G14" s="276">
        <f t="shared" si="1"/>
        <v>2827409</v>
      </c>
      <c r="H14" s="276">
        <f t="shared" si="1"/>
        <v>2827409</v>
      </c>
      <c r="I14" s="276">
        <f t="shared" si="1"/>
        <v>2827409</v>
      </c>
      <c r="J14" s="276">
        <f t="shared" si="1"/>
        <v>2827409</v>
      </c>
      <c r="K14" s="276">
        <f t="shared" si="1"/>
        <v>29227410</v>
      </c>
      <c r="L14" s="276">
        <f t="shared" si="1"/>
        <v>2827410</v>
      </c>
      <c r="M14" s="276">
        <f t="shared" si="1"/>
        <v>2827410</v>
      </c>
      <c r="N14" s="276">
        <f t="shared" si="1"/>
        <v>2827410</v>
      </c>
      <c r="O14" s="64">
        <f>SUM(C14:N14)</f>
        <v>220659818</v>
      </c>
    </row>
    <row r="15" spans="1:15" s="59" customFormat="1" ht="15.15" customHeight="1" thickBot="1" x14ac:dyDescent="0.3">
      <c r="A15" s="522" t="s">
        <v>26</v>
      </c>
      <c r="B15" s="758" t="s">
        <v>51</v>
      </c>
      <c r="C15" s="759"/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60"/>
    </row>
    <row r="16" spans="1:15" s="62" customFormat="1" ht="14.1" customHeight="1" x14ac:dyDescent="0.25">
      <c r="A16" s="65" t="s">
        <v>27</v>
      </c>
      <c r="B16" s="173" t="s">
        <v>53</v>
      </c>
      <c r="C16" s="275">
        <v>2291666</v>
      </c>
      <c r="D16" s="275">
        <v>2291666</v>
      </c>
      <c r="E16" s="275">
        <v>2291666</v>
      </c>
      <c r="F16" s="275">
        <v>2291666</v>
      </c>
      <c r="G16" s="275">
        <v>2291667</v>
      </c>
      <c r="H16" s="275">
        <v>2291667</v>
      </c>
      <c r="I16" s="275">
        <v>2291667</v>
      </c>
      <c r="J16" s="275">
        <v>2291667</v>
      </c>
      <c r="K16" s="275">
        <v>2291667</v>
      </c>
      <c r="L16" s="275">
        <v>2291667</v>
      </c>
      <c r="M16" s="275">
        <v>2291667</v>
      </c>
      <c r="N16" s="275">
        <v>2291667</v>
      </c>
      <c r="O16" s="63">
        <f t="shared" si="0"/>
        <v>27500000</v>
      </c>
    </row>
    <row r="17" spans="1:15" s="62" customFormat="1" ht="27.15" customHeight="1" x14ac:dyDescent="0.25">
      <c r="A17" s="60" t="s">
        <v>28</v>
      </c>
      <c r="B17" s="172" t="s">
        <v>123</v>
      </c>
      <c r="C17" s="274">
        <v>246250</v>
      </c>
      <c r="D17" s="274">
        <v>246250</v>
      </c>
      <c r="E17" s="274">
        <v>246250</v>
      </c>
      <c r="F17" s="274">
        <v>246250</v>
      </c>
      <c r="G17" s="274">
        <v>246250</v>
      </c>
      <c r="H17" s="274">
        <v>246250</v>
      </c>
      <c r="I17" s="274">
        <v>246250</v>
      </c>
      <c r="J17" s="274">
        <v>246250</v>
      </c>
      <c r="K17" s="274">
        <v>246250</v>
      </c>
      <c r="L17" s="274">
        <v>246250</v>
      </c>
      <c r="M17" s="274">
        <v>246250</v>
      </c>
      <c r="N17" s="274">
        <v>246250</v>
      </c>
      <c r="O17" s="61">
        <f t="shared" si="0"/>
        <v>2955000</v>
      </c>
    </row>
    <row r="18" spans="1:15" s="62" customFormat="1" ht="14.1" customHeight="1" x14ac:dyDescent="0.25">
      <c r="A18" s="60" t="s">
        <v>29</v>
      </c>
      <c r="B18" s="170" t="s">
        <v>95</v>
      </c>
      <c r="C18" s="274">
        <v>2876166</v>
      </c>
      <c r="D18" s="274">
        <v>2876166</v>
      </c>
      <c r="E18" s="274">
        <v>2876166</v>
      </c>
      <c r="F18" s="274">
        <v>2876166</v>
      </c>
      <c r="G18" s="274">
        <v>2876167</v>
      </c>
      <c r="H18" s="274">
        <v>2876167</v>
      </c>
      <c r="I18" s="274">
        <v>2876167</v>
      </c>
      <c r="J18" s="274">
        <v>2876167</v>
      </c>
      <c r="K18" s="274">
        <v>2876167</v>
      </c>
      <c r="L18" s="274">
        <v>2876167</v>
      </c>
      <c r="M18" s="274">
        <v>2876167</v>
      </c>
      <c r="N18" s="274">
        <v>2876167</v>
      </c>
      <c r="O18" s="61">
        <f t="shared" si="0"/>
        <v>34514000</v>
      </c>
    </row>
    <row r="19" spans="1:15" s="62" customFormat="1" ht="14.1" customHeight="1" x14ac:dyDescent="0.25">
      <c r="A19" s="60" t="s">
        <v>30</v>
      </c>
      <c r="B19" s="170" t="s">
        <v>124</v>
      </c>
      <c r="C19" s="274">
        <v>230000</v>
      </c>
      <c r="D19" s="274">
        <v>230000</v>
      </c>
      <c r="E19" s="274">
        <v>230000</v>
      </c>
      <c r="F19" s="274">
        <v>230000</v>
      </c>
      <c r="G19" s="274">
        <v>230000</v>
      </c>
      <c r="H19" s="274">
        <v>230000</v>
      </c>
      <c r="I19" s="274">
        <v>230000</v>
      </c>
      <c r="J19" s="274">
        <v>230000</v>
      </c>
      <c r="K19" s="274">
        <v>230000</v>
      </c>
      <c r="L19" s="274">
        <v>230000</v>
      </c>
      <c r="M19" s="274">
        <v>230000</v>
      </c>
      <c r="N19" s="274">
        <v>230000</v>
      </c>
      <c r="O19" s="61">
        <f t="shared" si="0"/>
        <v>2760000</v>
      </c>
    </row>
    <row r="20" spans="1:15" s="62" customFormat="1" ht="14.1" customHeight="1" x14ac:dyDescent="0.25">
      <c r="A20" s="60" t="s">
        <v>31</v>
      </c>
      <c r="B20" s="170" t="s">
        <v>11</v>
      </c>
      <c r="C20" s="274">
        <v>2284965</v>
      </c>
      <c r="D20" s="274">
        <v>2284965</v>
      </c>
      <c r="E20" s="274">
        <v>2284965</v>
      </c>
      <c r="F20" s="274">
        <v>2284965</v>
      </c>
      <c r="G20" s="274">
        <v>2284965</v>
      </c>
      <c r="H20" s="274">
        <v>2284965</v>
      </c>
      <c r="I20" s="274">
        <v>2284965</v>
      </c>
      <c r="J20" s="274">
        <v>2284965</v>
      </c>
      <c r="K20" s="274">
        <v>2284965</v>
      </c>
      <c r="L20" s="274">
        <v>2284965</v>
      </c>
      <c r="M20" s="274">
        <v>2284966</v>
      </c>
      <c r="N20" s="274">
        <v>2284966</v>
      </c>
      <c r="O20" s="61">
        <f t="shared" si="0"/>
        <v>27419582</v>
      </c>
    </row>
    <row r="21" spans="1:15" s="62" customFormat="1" ht="14.1" customHeight="1" x14ac:dyDescent="0.25">
      <c r="A21" s="60" t="s">
        <v>32</v>
      </c>
      <c r="B21" s="170" t="s">
        <v>157</v>
      </c>
      <c r="C21" s="274"/>
      <c r="D21" s="274">
        <v>56960994</v>
      </c>
      <c r="E21" s="274">
        <v>66243937</v>
      </c>
      <c r="F21" s="274">
        <v>511000</v>
      </c>
      <c r="G21" s="274">
        <v>1000000</v>
      </c>
      <c r="H21" s="274"/>
      <c r="I21" s="274"/>
      <c r="J21" s="274"/>
      <c r="K21" s="274"/>
      <c r="L21" s="274"/>
      <c r="M21" s="274"/>
      <c r="N21" s="274"/>
      <c r="O21" s="61">
        <f t="shared" si="0"/>
        <v>124715931</v>
      </c>
    </row>
    <row r="22" spans="1:15" s="62" customFormat="1" x14ac:dyDescent="0.25">
      <c r="A22" s="60" t="s">
        <v>33</v>
      </c>
      <c r="B22" s="172" t="s">
        <v>126</v>
      </c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61">
        <f t="shared" si="0"/>
        <v>0</v>
      </c>
    </row>
    <row r="23" spans="1:15" s="62" customFormat="1" ht="14.1" customHeight="1" x14ac:dyDescent="0.25">
      <c r="A23" s="60" t="s">
        <v>34</v>
      </c>
      <c r="B23" s="170" t="s">
        <v>158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61">
        <f t="shared" si="0"/>
        <v>0</v>
      </c>
    </row>
    <row r="24" spans="1:15" s="62" customFormat="1" ht="14.1" customHeight="1" thickBot="1" x14ac:dyDescent="0.3">
      <c r="A24" s="60" t="s">
        <v>35</v>
      </c>
      <c r="B24" s="170" t="s">
        <v>12</v>
      </c>
      <c r="C24" s="274">
        <v>795305</v>
      </c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61">
        <f t="shared" si="0"/>
        <v>795305</v>
      </c>
    </row>
    <row r="25" spans="1:15" s="59" customFormat="1" ht="15.9" customHeight="1" thickBot="1" x14ac:dyDescent="0.3">
      <c r="A25" s="66" t="s">
        <v>36</v>
      </c>
      <c r="B25" s="14" t="s">
        <v>79</v>
      </c>
      <c r="C25" s="276">
        <f t="shared" ref="C25:N25" si="2">SUM(C16:C24)</f>
        <v>8724352</v>
      </c>
      <c r="D25" s="276">
        <f t="shared" si="2"/>
        <v>64890041</v>
      </c>
      <c r="E25" s="276">
        <f t="shared" si="2"/>
        <v>74172984</v>
      </c>
      <c r="F25" s="276">
        <f t="shared" si="2"/>
        <v>8440047</v>
      </c>
      <c r="G25" s="276">
        <f t="shared" si="2"/>
        <v>8929049</v>
      </c>
      <c r="H25" s="276">
        <f t="shared" si="2"/>
        <v>7929049</v>
      </c>
      <c r="I25" s="276">
        <f t="shared" si="2"/>
        <v>7929049</v>
      </c>
      <c r="J25" s="276">
        <f t="shared" si="2"/>
        <v>7929049</v>
      </c>
      <c r="K25" s="276">
        <f t="shared" si="2"/>
        <v>7929049</v>
      </c>
      <c r="L25" s="276">
        <f t="shared" si="2"/>
        <v>7929049</v>
      </c>
      <c r="M25" s="276">
        <f t="shared" si="2"/>
        <v>7929050</v>
      </c>
      <c r="N25" s="276">
        <f t="shared" si="2"/>
        <v>7929050</v>
      </c>
      <c r="O25" s="64">
        <f t="shared" si="0"/>
        <v>220659818</v>
      </c>
    </row>
    <row r="26" spans="1:15" ht="16.2" thickBot="1" x14ac:dyDescent="0.35">
      <c r="A26" s="66" t="s">
        <v>37</v>
      </c>
      <c r="B26" s="174" t="s">
        <v>80</v>
      </c>
      <c r="C26" s="277">
        <f t="shared" ref="C26:O26" si="3">C14-C25</f>
        <v>31888295</v>
      </c>
      <c r="D26" s="277">
        <f t="shared" si="3"/>
        <v>-33033446</v>
      </c>
      <c r="E26" s="277">
        <f t="shared" si="3"/>
        <v>22170907</v>
      </c>
      <c r="F26" s="277">
        <f t="shared" si="3"/>
        <v>-5612638</v>
      </c>
      <c r="G26" s="277">
        <f t="shared" si="3"/>
        <v>-6101640</v>
      </c>
      <c r="H26" s="277">
        <f t="shared" si="3"/>
        <v>-5101640</v>
      </c>
      <c r="I26" s="277">
        <f t="shared" si="3"/>
        <v>-5101640</v>
      </c>
      <c r="J26" s="277">
        <f t="shared" si="3"/>
        <v>-5101640</v>
      </c>
      <c r="K26" s="277">
        <f t="shared" si="3"/>
        <v>21298361</v>
      </c>
      <c r="L26" s="277">
        <f t="shared" si="3"/>
        <v>-5101639</v>
      </c>
      <c r="M26" s="277">
        <f t="shared" si="3"/>
        <v>-5101640</v>
      </c>
      <c r="N26" s="277">
        <f t="shared" si="3"/>
        <v>-5101640</v>
      </c>
      <c r="O26" s="67">
        <f t="shared" si="3"/>
        <v>0</v>
      </c>
    </row>
    <row r="27" spans="1:15" x14ac:dyDescent="0.3">
      <c r="A27" s="69"/>
    </row>
    <row r="28" spans="1:15" x14ac:dyDescent="0.3">
      <c r="B28" s="70"/>
      <c r="C28" s="71"/>
      <c r="D28" s="71"/>
      <c r="O28" s="68"/>
    </row>
    <row r="29" spans="1:15" x14ac:dyDescent="0.3">
      <c r="O29" s="68"/>
    </row>
    <row r="30" spans="1:15" x14ac:dyDescent="0.3">
      <c r="O30" s="68"/>
    </row>
    <row r="31" spans="1:15" x14ac:dyDescent="0.3">
      <c r="O31" s="68"/>
    </row>
    <row r="32" spans="1:15" x14ac:dyDescent="0.3">
      <c r="O32" s="68"/>
    </row>
    <row r="33" spans="15:15" x14ac:dyDescent="0.3">
      <c r="O33" s="68"/>
    </row>
    <row r="34" spans="15:15" x14ac:dyDescent="0.3">
      <c r="O34" s="68"/>
    </row>
    <row r="35" spans="15:15" x14ac:dyDescent="0.3">
      <c r="O35" s="68"/>
    </row>
    <row r="36" spans="15:15" x14ac:dyDescent="0.3">
      <c r="O36" s="68"/>
    </row>
    <row r="37" spans="15:15" x14ac:dyDescent="0.3">
      <c r="O37" s="68"/>
    </row>
    <row r="38" spans="15:15" x14ac:dyDescent="0.3">
      <c r="O38" s="68"/>
    </row>
    <row r="39" spans="15:15" x14ac:dyDescent="0.3">
      <c r="O39" s="68"/>
    </row>
    <row r="40" spans="15:15" x14ac:dyDescent="0.3">
      <c r="O40" s="68"/>
    </row>
    <row r="41" spans="15:15" x14ac:dyDescent="0.3">
      <c r="O41" s="68"/>
    </row>
    <row r="42" spans="15:15" x14ac:dyDescent="0.3">
      <c r="O42" s="68"/>
    </row>
    <row r="43" spans="15:15" x14ac:dyDescent="0.3">
      <c r="O43" s="68"/>
    </row>
    <row r="44" spans="15:15" x14ac:dyDescent="0.3">
      <c r="O44" s="68"/>
    </row>
    <row r="45" spans="15:15" x14ac:dyDescent="0.3">
      <c r="O45" s="68"/>
    </row>
    <row r="46" spans="15:15" x14ac:dyDescent="0.3">
      <c r="O46" s="68"/>
    </row>
    <row r="47" spans="15:15" x14ac:dyDescent="0.3">
      <c r="O47" s="68"/>
    </row>
    <row r="48" spans="15:15" x14ac:dyDescent="0.3">
      <c r="O48" s="68"/>
    </row>
    <row r="49" spans="15:15" x14ac:dyDescent="0.3">
      <c r="O49" s="68"/>
    </row>
    <row r="50" spans="15:15" x14ac:dyDescent="0.3">
      <c r="O50" s="68"/>
    </row>
    <row r="51" spans="15:15" x14ac:dyDescent="0.3">
      <c r="O51" s="68"/>
    </row>
    <row r="52" spans="15:15" x14ac:dyDescent="0.3">
      <c r="O52" s="68"/>
    </row>
    <row r="53" spans="15:15" x14ac:dyDescent="0.3">
      <c r="O53" s="68"/>
    </row>
    <row r="54" spans="15:15" x14ac:dyDescent="0.3">
      <c r="O54" s="68"/>
    </row>
    <row r="55" spans="15:15" x14ac:dyDescent="0.3">
      <c r="O55" s="68"/>
    </row>
    <row r="56" spans="15:15" x14ac:dyDescent="0.3">
      <c r="O56" s="68"/>
    </row>
    <row r="57" spans="15:15" x14ac:dyDescent="0.3">
      <c r="O57" s="68"/>
    </row>
    <row r="58" spans="15:15" x14ac:dyDescent="0.3">
      <c r="O58" s="68"/>
    </row>
    <row r="59" spans="15:15" x14ac:dyDescent="0.3">
      <c r="O59" s="68"/>
    </row>
    <row r="60" spans="15:15" x14ac:dyDescent="0.3">
      <c r="O60" s="68"/>
    </row>
    <row r="61" spans="15:15" x14ac:dyDescent="0.3">
      <c r="O61" s="68"/>
    </row>
    <row r="62" spans="15:15" x14ac:dyDescent="0.3">
      <c r="O62" s="68"/>
    </row>
    <row r="63" spans="15:15" x14ac:dyDescent="0.3">
      <c r="O63" s="68"/>
    </row>
    <row r="64" spans="15:15" x14ac:dyDescent="0.3">
      <c r="O64" s="68"/>
    </row>
    <row r="65" spans="15:15" x14ac:dyDescent="0.3">
      <c r="O65" s="68"/>
    </row>
    <row r="66" spans="15:15" x14ac:dyDescent="0.3">
      <c r="O66" s="68"/>
    </row>
    <row r="67" spans="15:15" x14ac:dyDescent="0.3">
      <c r="O67" s="68"/>
    </row>
    <row r="68" spans="15:15" x14ac:dyDescent="0.3">
      <c r="O68" s="68"/>
    </row>
    <row r="69" spans="15:15" x14ac:dyDescent="0.3">
      <c r="O69" s="68"/>
    </row>
    <row r="70" spans="15:15" x14ac:dyDescent="0.3">
      <c r="O70" s="68"/>
    </row>
    <row r="71" spans="15:15" x14ac:dyDescent="0.3">
      <c r="O71" s="68"/>
    </row>
    <row r="72" spans="15:15" x14ac:dyDescent="0.3">
      <c r="O72" s="68"/>
    </row>
    <row r="73" spans="15:15" x14ac:dyDescent="0.3">
      <c r="O73" s="68"/>
    </row>
    <row r="74" spans="15:15" x14ac:dyDescent="0.3">
      <c r="O74" s="68"/>
    </row>
    <row r="75" spans="15:15" x14ac:dyDescent="0.3">
      <c r="O75" s="68"/>
    </row>
    <row r="76" spans="15:15" x14ac:dyDescent="0.3">
      <c r="O76" s="68"/>
    </row>
    <row r="77" spans="15:15" x14ac:dyDescent="0.3">
      <c r="O77" s="68"/>
    </row>
    <row r="78" spans="15:15" x14ac:dyDescent="0.3">
      <c r="O78" s="68"/>
    </row>
    <row r="79" spans="15:15" x14ac:dyDescent="0.3">
      <c r="O79" s="68"/>
    </row>
    <row r="80" spans="15:15" x14ac:dyDescent="0.3">
      <c r="O80" s="68"/>
    </row>
    <row r="81" spans="15:15" x14ac:dyDescent="0.3">
      <c r="O81" s="68"/>
    </row>
  </sheetData>
  <mergeCells count="3">
    <mergeCell ref="B5:O5"/>
    <mergeCell ref="B15:O15"/>
    <mergeCell ref="A2:O2"/>
  </mergeCells>
  <phoneticPr fontId="0" type="noConversion"/>
  <printOptions horizontalCentered="1"/>
  <pageMargins left="0.78740157480314965" right="0.78740157480314965" top="1.0687500000000001" bottom="0.98425196850393704" header="0.78740157480314965" footer="0.78740157480314965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Munka72">
    <tabColor rgb="FF92D050"/>
  </sheetPr>
  <dimension ref="A2:F51"/>
  <sheetViews>
    <sheetView zoomScale="120" zoomScaleNormal="120" zoomScaleSheetLayoutView="100" workbookViewId="0">
      <selection activeCell="A6" sqref="A6:E38"/>
    </sheetView>
  </sheetViews>
  <sheetFormatPr defaultColWidth="9.33203125" defaultRowHeight="15.6" x14ac:dyDescent="0.3"/>
  <cols>
    <col min="1" max="1" width="9" style="614" customWidth="1"/>
    <col min="2" max="2" width="66.33203125" style="15" bestFit="1" customWidth="1"/>
    <col min="3" max="3" width="15.44140625" style="219" customWidth="1"/>
    <col min="4" max="5" width="15.44140625" style="15" customWidth="1"/>
    <col min="6" max="6" width="9" style="15" customWidth="1"/>
    <col min="7" max="16384" width="9.33203125" style="15"/>
  </cols>
  <sheetData>
    <row r="2" spans="1:5" x14ac:dyDescent="0.3">
      <c r="C2" s="615"/>
      <c r="D2" s="310"/>
      <c r="E2" s="315" t="s">
        <v>702</v>
      </c>
    </row>
    <row r="3" spans="1:5" x14ac:dyDescent="0.3">
      <c r="A3" s="745" t="str">
        <f>CONCATENATE([1]ALAPADATOK!A3)</f>
        <v>Alsónyék Község Önkormányzata</v>
      </c>
      <c r="B3" s="763"/>
      <c r="C3" s="763"/>
      <c r="D3" s="763"/>
      <c r="E3" s="763"/>
    </row>
    <row r="4" spans="1:5" x14ac:dyDescent="0.3">
      <c r="A4" s="764" t="str">
        <f>CONCATENATE([1]ALAPADATOK!D7," ÉVI KÖLTSÉGVETÉSI ÉVET KÖVETŐ 3 ÉV TERVEZETT")</f>
        <v>2025. ÉVI KÖLTSÉGVETÉSI ÉVET KÖVETŐ 3 ÉV TERVEZETT</v>
      </c>
      <c r="B4" s="765"/>
      <c r="C4" s="765"/>
      <c r="D4" s="765"/>
      <c r="E4" s="765"/>
    </row>
    <row r="5" spans="1:5" ht="15.9" customHeight="1" x14ac:dyDescent="0.3">
      <c r="A5" s="674" t="s">
        <v>338</v>
      </c>
      <c r="B5" s="674"/>
      <c r="C5" s="674"/>
      <c r="D5" s="674"/>
      <c r="E5" s="674"/>
    </row>
    <row r="6" spans="1:5" ht="15.9" customHeight="1" thickBot="1" x14ac:dyDescent="0.35">
      <c r="A6" s="672" t="s">
        <v>104</v>
      </c>
      <c r="B6" s="672"/>
      <c r="C6" s="390"/>
      <c r="D6" s="88"/>
      <c r="E6" s="187" t="str">
        <f>'[1]KV_4.sz.tájékoztató_t.'!O3</f>
        <v>Forintban</v>
      </c>
    </row>
    <row r="7" spans="1:5" ht="38.1" customHeight="1" thickBot="1" x14ac:dyDescent="0.35">
      <c r="A7" s="616" t="s">
        <v>60</v>
      </c>
      <c r="B7" s="5" t="s">
        <v>15</v>
      </c>
      <c r="C7" s="5" t="str">
        <f>+CONCATENATE(LEFT([1]KV_ÖSSZEFÜGGÉSEK!A5,4)+1,". évi")</f>
        <v>2026. évi</v>
      </c>
      <c r="D7" s="617" t="str">
        <f>+CONCATENATE(LEFT([1]KV_ÖSSZEFÜGGÉSEK!A5,4)+2,". évi")</f>
        <v>2027. évi</v>
      </c>
      <c r="E7" s="101" t="str">
        <f>+CONCATENATE(LEFT([1]KV_ÖSSZEFÜGGÉSEK!A5,4)+3,". évi")</f>
        <v>2028. évi</v>
      </c>
    </row>
    <row r="8" spans="1:5" s="16" customFormat="1" ht="12" customHeight="1" thickBot="1" x14ac:dyDescent="0.25">
      <c r="A8" s="618" t="s">
        <v>281</v>
      </c>
      <c r="B8" s="11" t="s">
        <v>282</v>
      </c>
      <c r="C8" s="11" t="s">
        <v>283</v>
      </c>
      <c r="D8" s="11" t="s">
        <v>285</v>
      </c>
      <c r="E8" s="227" t="s">
        <v>284</v>
      </c>
    </row>
    <row r="9" spans="1:5" s="1" customFormat="1" ht="12" customHeight="1" thickBot="1" x14ac:dyDescent="0.3">
      <c r="A9" s="618" t="s">
        <v>16</v>
      </c>
      <c r="B9" s="619" t="s">
        <v>235</v>
      </c>
      <c r="C9" s="620"/>
      <c r="D9" s="620"/>
      <c r="E9" s="230"/>
    </row>
    <row r="10" spans="1:5" s="1" customFormat="1" ht="12" customHeight="1" thickBot="1" x14ac:dyDescent="0.3">
      <c r="A10" s="618" t="s">
        <v>17</v>
      </c>
      <c r="B10" s="621" t="s">
        <v>239</v>
      </c>
      <c r="C10" s="620"/>
      <c r="D10" s="620"/>
      <c r="E10" s="230"/>
    </row>
    <row r="11" spans="1:5" s="1" customFormat="1" ht="12" customHeight="1" thickBot="1" x14ac:dyDescent="0.3">
      <c r="A11" s="618" t="s">
        <v>18</v>
      </c>
      <c r="B11" s="621" t="s">
        <v>577</v>
      </c>
      <c r="C11" s="622">
        <f>SUM(C12:C18)</f>
        <v>44220000</v>
      </c>
      <c r="D11" s="622">
        <f>SUM(D12:D18)</f>
        <v>44770000</v>
      </c>
      <c r="E11" s="226">
        <f>SUM(E12:E18)</f>
        <v>45320000</v>
      </c>
    </row>
    <row r="12" spans="1:5" s="1" customFormat="1" ht="12" customHeight="1" x14ac:dyDescent="0.25">
      <c r="A12" s="623" t="s">
        <v>19</v>
      </c>
      <c r="B12" s="624" t="str">
        <f>'[1]KV_1.1.sz.mell.'!B33</f>
        <v>Építményadó</v>
      </c>
      <c r="C12" s="625">
        <v>300000</v>
      </c>
      <c r="D12" s="626">
        <v>300000</v>
      </c>
      <c r="E12" s="626">
        <v>300000</v>
      </c>
    </row>
    <row r="13" spans="1:5" s="1" customFormat="1" ht="12" customHeight="1" x14ac:dyDescent="0.25">
      <c r="A13" s="627" t="s">
        <v>20</v>
      </c>
      <c r="B13" s="624" t="str">
        <f>'[1]KV_1.1.sz.mell.'!B34</f>
        <v>Magánszemélyek kommunális adója</v>
      </c>
      <c r="C13" s="628">
        <v>2700000</v>
      </c>
      <c r="D13" s="154">
        <v>2750000</v>
      </c>
      <c r="E13" s="154">
        <v>2800000</v>
      </c>
    </row>
    <row r="14" spans="1:5" s="1" customFormat="1" ht="12" customHeight="1" x14ac:dyDescent="0.25">
      <c r="A14" s="627" t="s">
        <v>21</v>
      </c>
      <c r="B14" s="624" t="str">
        <f>'[1]KV_1.1.sz.mell.'!B35</f>
        <v>Iparűzési adó</v>
      </c>
      <c r="C14" s="628">
        <v>41000000</v>
      </c>
      <c r="D14" s="154">
        <v>41500000</v>
      </c>
      <c r="E14" s="154">
        <v>42000000</v>
      </c>
    </row>
    <row r="15" spans="1:5" s="1" customFormat="1" ht="12" customHeight="1" x14ac:dyDescent="0.25">
      <c r="A15" s="627" t="s">
        <v>22</v>
      </c>
      <c r="B15" s="624" t="str">
        <f>'[1]KV_1.1.sz.mell.'!B36</f>
        <v xml:space="preserve">Talajterhelési díj </v>
      </c>
      <c r="C15" s="628"/>
      <c r="D15" s="154"/>
      <c r="E15" s="154"/>
    </row>
    <row r="16" spans="1:5" s="1" customFormat="1" ht="12" customHeight="1" x14ac:dyDescent="0.25">
      <c r="A16" s="627" t="s">
        <v>23</v>
      </c>
      <c r="B16" s="624" t="str">
        <f>'[1]KV_1.1.sz.mell.'!B37</f>
        <v>Gépjárműadó</v>
      </c>
      <c r="C16" s="628"/>
      <c r="D16" s="154"/>
      <c r="E16" s="154"/>
    </row>
    <row r="17" spans="1:5" s="1" customFormat="1" ht="12" customHeight="1" x14ac:dyDescent="0.25">
      <c r="A17" s="627" t="s">
        <v>24</v>
      </c>
      <c r="B17" s="624" t="str">
        <f>'[1]KV_1.1.sz.mell.'!B38</f>
        <v>Telekadó</v>
      </c>
      <c r="C17" s="628"/>
      <c r="D17" s="154"/>
      <c r="E17" s="154"/>
    </row>
    <row r="18" spans="1:5" s="1" customFormat="1" ht="12" customHeight="1" thickBot="1" x14ac:dyDescent="0.3">
      <c r="A18" s="629" t="s">
        <v>25</v>
      </c>
      <c r="B18" s="624" t="str">
        <f>'[1]KV_1.1.sz.mell.'!B39</f>
        <v>Egyéb közhatalmi bevételek</v>
      </c>
      <c r="C18" s="630">
        <v>220000</v>
      </c>
      <c r="D18" s="155">
        <v>220000</v>
      </c>
      <c r="E18" s="155">
        <v>220000</v>
      </c>
    </row>
    <row r="19" spans="1:5" s="1" customFormat="1" ht="12" customHeight="1" thickBot="1" x14ac:dyDescent="0.3">
      <c r="A19" s="618" t="s">
        <v>26</v>
      </c>
      <c r="B19" s="621" t="s">
        <v>297</v>
      </c>
      <c r="C19" s="620">
        <v>3500000</v>
      </c>
      <c r="D19" s="620">
        <v>3600000</v>
      </c>
      <c r="E19" s="230">
        <v>3700000</v>
      </c>
    </row>
    <row r="20" spans="1:5" s="1" customFormat="1" ht="12" customHeight="1" thickBot="1" x14ac:dyDescent="0.3">
      <c r="A20" s="618" t="s">
        <v>27</v>
      </c>
      <c r="B20" s="621" t="s">
        <v>9</v>
      </c>
      <c r="C20" s="620"/>
      <c r="D20" s="620"/>
      <c r="E20" s="230"/>
    </row>
    <row r="21" spans="1:5" s="1" customFormat="1" ht="12" customHeight="1" thickBot="1" x14ac:dyDescent="0.3">
      <c r="A21" s="618" t="s">
        <v>28</v>
      </c>
      <c r="B21" s="621" t="s">
        <v>296</v>
      </c>
      <c r="C21" s="620"/>
      <c r="D21" s="620"/>
      <c r="E21" s="230"/>
    </row>
    <row r="22" spans="1:5" s="1" customFormat="1" ht="12" customHeight="1" thickBot="1" x14ac:dyDescent="0.3">
      <c r="A22" s="618" t="s">
        <v>29</v>
      </c>
      <c r="B22" s="619" t="s">
        <v>295</v>
      </c>
      <c r="C22" s="620"/>
      <c r="D22" s="620"/>
      <c r="E22" s="230"/>
    </row>
    <row r="23" spans="1:5" s="1" customFormat="1" ht="12" customHeight="1" thickBot="1" x14ac:dyDescent="0.3">
      <c r="A23" s="618" t="s">
        <v>30</v>
      </c>
      <c r="B23" s="621" t="s">
        <v>537</v>
      </c>
      <c r="C23" s="622">
        <f>+C9+C10+C11+C19+C20+C21+C22</f>
        <v>47720000</v>
      </c>
      <c r="D23" s="622">
        <f>+D9+D10+D11+D19+D20+D21+D22</f>
        <v>48370000</v>
      </c>
      <c r="E23" s="183">
        <f>+E9+E10+E11+E19+E20+E21+E22</f>
        <v>49020000</v>
      </c>
    </row>
    <row r="24" spans="1:5" s="1" customFormat="1" ht="12" customHeight="1" thickBot="1" x14ac:dyDescent="0.3">
      <c r="A24" s="618" t="s">
        <v>31</v>
      </c>
      <c r="B24" s="621" t="s">
        <v>298</v>
      </c>
      <c r="C24" s="631"/>
      <c r="D24" s="631"/>
      <c r="E24" s="632"/>
    </row>
    <row r="25" spans="1:5" s="1" customFormat="1" ht="12" customHeight="1" thickBot="1" x14ac:dyDescent="0.3">
      <c r="A25" s="618" t="s">
        <v>32</v>
      </c>
      <c r="B25" s="621" t="s">
        <v>538</v>
      </c>
      <c r="C25" s="622">
        <f>+C23+C24</f>
        <v>47720000</v>
      </c>
      <c r="D25" s="622">
        <f>+D23+D24</f>
        <v>48370000</v>
      </c>
      <c r="E25" s="226">
        <f>+E23+E24</f>
        <v>49020000</v>
      </c>
    </row>
    <row r="26" spans="1:5" s="1" customFormat="1" ht="12" customHeight="1" x14ac:dyDescent="0.25">
      <c r="A26" s="633"/>
      <c r="B26" s="212"/>
      <c r="C26" s="398"/>
      <c r="D26" s="634"/>
      <c r="E26" s="635"/>
    </row>
    <row r="27" spans="1:5" s="1" customFormat="1" ht="12" customHeight="1" x14ac:dyDescent="0.25">
      <c r="A27" s="674" t="s">
        <v>43</v>
      </c>
      <c r="B27" s="674"/>
      <c r="C27" s="674"/>
      <c r="D27" s="674"/>
      <c r="E27" s="674"/>
    </row>
    <row r="28" spans="1:5" s="1" customFormat="1" ht="12" customHeight="1" thickBot="1" x14ac:dyDescent="0.3">
      <c r="A28" s="672" t="s">
        <v>105</v>
      </c>
      <c r="B28" s="672"/>
      <c r="C28" s="390"/>
      <c r="D28" s="88"/>
      <c r="E28" s="187" t="str">
        <f>E6</f>
        <v>Forintban</v>
      </c>
    </row>
    <row r="29" spans="1:5" s="1" customFormat="1" ht="24" customHeight="1" thickBot="1" x14ac:dyDescent="0.3">
      <c r="A29" s="616" t="s">
        <v>14</v>
      </c>
      <c r="B29" s="5" t="s">
        <v>44</v>
      </c>
      <c r="C29" s="5" t="str">
        <f>+C7</f>
        <v>2026. évi</v>
      </c>
      <c r="D29" s="5" t="str">
        <f>+D7</f>
        <v>2027. évi</v>
      </c>
      <c r="E29" s="101" t="str">
        <f>+E7</f>
        <v>2028. évi</v>
      </c>
    </row>
    <row r="30" spans="1:5" s="1" customFormat="1" ht="12" customHeight="1" thickBot="1" x14ac:dyDescent="0.3">
      <c r="A30" s="636" t="s">
        <v>281</v>
      </c>
      <c r="B30" s="637" t="s">
        <v>282</v>
      </c>
      <c r="C30" s="637" t="s">
        <v>283</v>
      </c>
      <c r="D30" s="637" t="s">
        <v>285</v>
      </c>
      <c r="E30" s="638" t="s">
        <v>284</v>
      </c>
    </row>
    <row r="31" spans="1:5" s="1" customFormat="1" ht="15.15" customHeight="1" thickBot="1" x14ac:dyDescent="0.3">
      <c r="A31" s="618" t="s">
        <v>16</v>
      </c>
      <c r="B31" s="621" t="s">
        <v>541</v>
      </c>
      <c r="C31" s="620">
        <v>40370000</v>
      </c>
      <c r="D31" s="229">
        <v>40500000</v>
      </c>
      <c r="E31" s="229">
        <v>42000000</v>
      </c>
    </row>
    <row r="32" spans="1:5" ht="12" customHeight="1" thickBot="1" x14ac:dyDescent="0.35">
      <c r="A32" s="639" t="s">
        <v>17</v>
      </c>
      <c r="B32" s="640" t="s">
        <v>540</v>
      </c>
      <c r="C32" s="641">
        <f>+C33+C34+C35</f>
        <v>7350000</v>
      </c>
      <c r="D32" s="641">
        <f>+D33+D34+D35</f>
        <v>7870000</v>
      </c>
      <c r="E32" s="641">
        <f>+E33+E34+E35</f>
        <v>7020000</v>
      </c>
    </row>
    <row r="33" spans="1:6" ht="12" customHeight="1" x14ac:dyDescent="0.3">
      <c r="A33" s="623" t="s">
        <v>18</v>
      </c>
      <c r="B33" s="642" t="s">
        <v>157</v>
      </c>
      <c r="C33" s="625">
        <v>7350000</v>
      </c>
      <c r="D33" s="626">
        <v>7870000</v>
      </c>
      <c r="E33" s="626">
        <v>7020000</v>
      </c>
    </row>
    <row r="34" spans="1:6" ht="12" customHeight="1" x14ac:dyDescent="0.3">
      <c r="A34" s="623" t="s">
        <v>19</v>
      </c>
      <c r="B34" s="643" t="s">
        <v>126</v>
      </c>
      <c r="C34" s="628"/>
      <c r="D34" s="628"/>
      <c r="E34" s="154"/>
    </row>
    <row r="35" spans="1:6" ht="12" customHeight="1" thickBot="1" x14ac:dyDescent="0.35">
      <c r="A35" s="623" t="s">
        <v>20</v>
      </c>
      <c r="B35" s="644" t="s">
        <v>158</v>
      </c>
      <c r="C35" s="628"/>
      <c r="D35" s="628"/>
      <c r="E35" s="154"/>
    </row>
    <row r="36" spans="1:6" ht="12" customHeight="1" thickBot="1" x14ac:dyDescent="0.35">
      <c r="A36" s="618" t="s">
        <v>21</v>
      </c>
      <c r="B36" s="645" t="s">
        <v>263</v>
      </c>
      <c r="C36" s="646">
        <f>+C31+C32</f>
        <v>47720000</v>
      </c>
      <c r="D36" s="646">
        <f>+D31+D32</f>
        <v>48370000</v>
      </c>
      <c r="E36" s="153">
        <f>+E31+E32</f>
        <v>49020000</v>
      </c>
    </row>
    <row r="37" spans="1:6" ht="15.15" customHeight="1" thickBot="1" x14ac:dyDescent="0.35">
      <c r="A37" s="618" t="s">
        <v>22</v>
      </c>
      <c r="B37" s="645" t="s">
        <v>299</v>
      </c>
      <c r="C37" s="248"/>
      <c r="D37" s="248"/>
      <c r="E37" s="249"/>
      <c r="F37" s="76"/>
    </row>
    <row r="38" spans="1:6" s="1" customFormat="1" ht="12.9" customHeight="1" thickBot="1" x14ac:dyDescent="0.3">
      <c r="A38" s="618" t="s">
        <v>23</v>
      </c>
      <c r="B38" s="647" t="s">
        <v>539</v>
      </c>
      <c r="C38" s="648">
        <f>+C36+C37</f>
        <v>47720000</v>
      </c>
      <c r="D38" s="648">
        <f>+D36+D37</f>
        <v>48370000</v>
      </c>
      <c r="E38" s="649">
        <f>+E36+E37</f>
        <v>49020000</v>
      </c>
    </row>
    <row r="39" spans="1:6" x14ac:dyDescent="0.3">
      <c r="C39" s="650">
        <f>C25-C38</f>
        <v>0</v>
      </c>
      <c r="D39" s="650">
        <f>D25-D38</f>
        <v>0</v>
      </c>
      <c r="E39" s="650">
        <f>E25-E38</f>
        <v>0</v>
      </c>
    </row>
    <row r="40" spans="1:6" x14ac:dyDescent="0.3">
      <c r="C40" s="15"/>
    </row>
    <row r="41" spans="1:6" x14ac:dyDescent="0.3">
      <c r="C41" s="15"/>
    </row>
    <row r="42" spans="1:6" ht="16.5" customHeight="1" x14ac:dyDescent="0.3">
      <c r="C42" s="15"/>
    </row>
    <row r="43" spans="1:6" x14ac:dyDescent="0.3">
      <c r="C43" s="15"/>
    </row>
    <row r="44" spans="1:6" x14ac:dyDescent="0.3">
      <c r="C44" s="15"/>
    </row>
    <row r="45" spans="1:6" x14ac:dyDescent="0.3">
      <c r="C45" s="15"/>
    </row>
    <row r="46" spans="1:6" x14ac:dyDescent="0.3">
      <c r="C46" s="15"/>
    </row>
    <row r="47" spans="1:6" x14ac:dyDescent="0.3">
      <c r="C47" s="15"/>
    </row>
    <row r="48" spans="1:6" x14ac:dyDescent="0.3">
      <c r="C48" s="15"/>
    </row>
    <row r="49" spans="3:3" x14ac:dyDescent="0.3">
      <c r="C49" s="15"/>
    </row>
    <row r="50" spans="3:3" x14ac:dyDescent="0.3">
      <c r="C50" s="15"/>
    </row>
    <row r="51" spans="3:3" x14ac:dyDescent="0.3">
      <c r="C51" s="15"/>
    </row>
  </sheetData>
  <mergeCells count="6">
    <mergeCell ref="A5:E5"/>
    <mergeCell ref="A6:B6"/>
    <mergeCell ref="A27:E27"/>
    <mergeCell ref="A28:B28"/>
    <mergeCell ref="A3:E3"/>
    <mergeCell ref="A4:E4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5" fitToWidth="3" fitToHeight="2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unka398">
    <tabColor rgb="FF92D050"/>
  </sheetPr>
  <dimension ref="A2:F38"/>
  <sheetViews>
    <sheetView workbookViewId="0">
      <selection activeCell="A4" sqref="A4:C38"/>
    </sheetView>
  </sheetViews>
  <sheetFormatPr defaultColWidth="9.33203125" defaultRowHeight="13.2" x14ac:dyDescent="0.25"/>
  <cols>
    <col min="1" max="1" width="7.6640625" style="295" customWidth="1"/>
    <col min="2" max="2" width="66.6640625" style="295" customWidth="1"/>
    <col min="3" max="3" width="25" style="295" customWidth="1"/>
    <col min="4" max="4" width="9.33203125" style="295"/>
    <col min="5" max="5" width="30.33203125" style="295" customWidth="1"/>
    <col min="6" max="6" width="12.6640625" style="586" bestFit="1" customWidth="1"/>
    <col min="7" max="16384" width="9.33203125" style="295"/>
  </cols>
  <sheetData>
    <row r="2" spans="1:3" x14ac:dyDescent="0.25">
      <c r="B2" s="766" t="s">
        <v>703</v>
      </c>
      <c r="C2" s="766"/>
    </row>
    <row r="3" spans="1:3" ht="13.8" thickBot="1" x14ac:dyDescent="0.3">
      <c r="A3" s="585"/>
      <c r="B3" s="589"/>
      <c r="C3" s="589"/>
    </row>
    <row r="4" spans="1:3" x14ac:dyDescent="0.25">
      <c r="A4" s="587"/>
      <c r="B4" s="588" t="s">
        <v>655</v>
      </c>
      <c r="C4" s="548" t="s">
        <v>656</v>
      </c>
    </row>
    <row r="5" spans="1:3" x14ac:dyDescent="0.25">
      <c r="A5" s="590">
        <v>1</v>
      </c>
      <c r="B5" s="591">
        <v>2</v>
      </c>
      <c r="C5" s="592">
        <v>3</v>
      </c>
    </row>
    <row r="6" spans="1:3" x14ac:dyDescent="0.25">
      <c r="A6" s="593" t="s">
        <v>526</v>
      </c>
      <c r="B6" s="594" t="s">
        <v>657</v>
      </c>
      <c r="C6" s="595">
        <f>C7+C9+C11+C14+C19+C21</f>
        <v>2258875</v>
      </c>
    </row>
    <row r="7" spans="1:3" ht="13.8" x14ac:dyDescent="0.25">
      <c r="A7" s="593" t="s">
        <v>425</v>
      </c>
      <c r="B7" s="596" t="s">
        <v>658</v>
      </c>
      <c r="C7" s="597">
        <f>C8</f>
        <v>0</v>
      </c>
    </row>
    <row r="8" spans="1:3" x14ac:dyDescent="0.25">
      <c r="A8" s="593" t="s">
        <v>426</v>
      </c>
      <c r="B8" s="598"/>
      <c r="C8" s="599"/>
    </row>
    <row r="9" spans="1:3" ht="13.8" x14ac:dyDescent="0.25">
      <c r="A9" s="593" t="s">
        <v>427</v>
      </c>
      <c r="B9" s="596" t="s">
        <v>659</v>
      </c>
      <c r="C9" s="597">
        <f>SUM(C10:C10)</f>
        <v>0</v>
      </c>
    </row>
    <row r="10" spans="1:3" x14ac:dyDescent="0.25">
      <c r="A10" s="593" t="s">
        <v>428</v>
      </c>
      <c r="B10" s="600"/>
      <c r="C10" s="601"/>
    </row>
    <row r="11" spans="1:3" ht="13.8" x14ac:dyDescent="0.25">
      <c r="A11" s="593" t="s">
        <v>339</v>
      </c>
      <c r="B11" s="596" t="s">
        <v>660</v>
      </c>
      <c r="C11" s="597">
        <f>SUM(C12:C13)</f>
        <v>2258875</v>
      </c>
    </row>
    <row r="12" spans="1:3" x14ac:dyDescent="0.25">
      <c r="A12" s="593" t="s">
        <v>340</v>
      </c>
      <c r="B12" s="600" t="s">
        <v>661</v>
      </c>
      <c r="C12" s="599">
        <v>2258875</v>
      </c>
    </row>
    <row r="13" spans="1:3" x14ac:dyDescent="0.25">
      <c r="A13" s="593" t="s">
        <v>341</v>
      </c>
      <c r="B13" s="600"/>
      <c r="C13" s="599"/>
    </row>
    <row r="14" spans="1:3" ht="13.8" x14ac:dyDescent="0.25">
      <c r="A14" s="593" t="s">
        <v>431</v>
      </c>
      <c r="B14" s="596" t="s">
        <v>662</v>
      </c>
      <c r="C14" s="597">
        <f>C15</f>
        <v>0</v>
      </c>
    </row>
    <row r="15" spans="1:3" x14ac:dyDescent="0.25">
      <c r="A15" s="593" t="s">
        <v>432</v>
      </c>
      <c r="B15" s="598"/>
      <c r="C15" s="601"/>
    </row>
    <row r="16" spans="1:3" x14ac:dyDescent="0.25">
      <c r="A16" s="593" t="s">
        <v>447</v>
      </c>
      <c r="B16" s="598"/>
      <c r="C16" s="601"/>
    </row>
    <row r="17" spans="1:6" x14ac:dyDescent="0.25">
      <c r="A17" s="593" t="s">
        <v>433</v>
      </c>
      <c r="B17" s="598"/>
      <c r="C17" s="601"/>
    </row>
    <row r="18" spans="1:6" x14ac:dyDescent="0.25">
      <c r="A18" s="593" t="s">
        <v>434</v>
      </c>
      <c r="B18" s="598"/>
      <c r="C18" s="601"/>
    </row>
    <row r="19" spans="1:6" ht="13.8" x14ac:dyDescent="0.25">
      <c r="A19" s="593" t="s">
        <v>435</v>
      </c>
      <c r="B19" s="602" t="s">
        <v>663</v>
      </c>
      <c r="C19" s="603">
        <f>SUM(C20)</f>
        <v>0</v>
      </c>
    </row>
    <row r="20" spans="1:6" x14ac:dyDescent="0.25">
      <c r="A20" s="593" t="s">
        <v>436</v>
      </c>
      <c r="B20" s="598"/>
      <c r="C20" s="601"/>
    </row>
    <row r="21" spans="1:6" ht="13.8" x14ac:dyDescent="0.25">
      <c r="A21" s="593" t="s">
        <v>437</v>
      </c>
      <c r="B21" s="602" t="s">
        <v>664</v>
      </c>
      <c r="C21" s="603">
        <f>SUM(C22:C26)</f>
        <v>0</v>
      </c>
    </row>
    <row r="22" spans="1:6" x14ac:dyDescent="0.25">
      <c r="A22" s="593" t="s">
        <v>438</v>
      </c>
      <c r="B22" s="600"/>
      <c r="C22" s="604"/>
    </row>
    <row r="23" spans="1:6" x14ac:dyDescent="0.25">
      <c r="A23" s="593" t="s">
        <v>448</v>
      </c>
      <c r="B23" s="600"/>
      <c r="C23" s="604"/>
    </row>
    <row r="24" spans="1:6" x14ac:dyDescent="0.25">
      <c r="A24" s="593" t="s">
        <v>439</v>
      </c>
      <c r="B24" s="600"/>
      <c r="C24" s="604"/>
    </row>
    <row r="25" spans="1:6" x14ac:dyDescent="0.25">
      <c r="A25" s="593" t="s">
        <v>440</v>
      </c>
      <c r="B25" s="600"/>
      <c r="C25" s="604"/>
    </row>
    <row r="26" spans="1:6" x14ac:dyDescent="0.25">
      <c r="A26" s="593" t="s">
        <v>441</v>
      </c>
      <c r="B26" s="600"/>
      <c r="C26" s="604"/>
    </row>
    <row r="27" spans="1:6" ht="13.8" x14ac:dyDescent="0.25">
      <c r="A27" s="593" t="s">
        <v>442</v>
      </c>
      <c r="B27" s="605" t="s">
        <v>665</v>
      </c>
      <c r="C27" s="606">
        <f>C28</f>
        <v>104901720</v>
      </c>
    </row>
    <row r="28" spans="1:6" ht="13.8" x14ac:dyDescent="0.25">
      <c r="A28" s="593" t="s">
        <v>443</v>
      </c>
      <c r="B28" s="596" t="s">
        <v>659</v>
      </c>
      <c r="C28" s="597">
        <f>SUM(C29:C32)</f>
        <v>104901720</v>
      </c>
      <c r="E28" s="295" t="s">
        <v>692</v>
      </c>
      <c r="F28" s="586" t="s">
        <v>693</v>
      </c>
    </row>
    <row r="29" spans="1:6" x14ac:dyDescent="0.25">
      <c r="A29" s="593" t="s">
        <v>444</v>
      </c>
      <c r="B29" s="600" t="s">
        <v>650</v>
      </c>
      <c r="C29" s="599">
        <v>104901720</v>
      </c>
      <c r="E29" s="586">
        <v>103876675</v>
      </c>
      <c r="F29" s="586">
        <f>C29-E29</f>
        <v>1025045</v>
      </c>
    </row>
    <row r="30" spans="1:6" x14ac:dyDescent="0.25">
      <c r="A30" s="593" t="s">
        <v>429</v>
      </c>
      <c r="B30" s="600"/>
      <c r="C30" s="601"/>
    </row>
    <row r="31" spans="1:6" x14ac:dyDescent="0.25">
      <c r="A31" s="593" t="s">
        <v>430</v>
      </c>
      <c r="B31" s="600"/>
      <c r="C31" s="601"/>
    </row>
    <row r="32" spans="1:6" ht="13.8" x14ac:dyDescent="0.25">
      <c r="A32" s="593"/>
      <c r="B32" s="596" t="s">
        <v>666</v>
      </c>
      <c r="C32" s="601"/>
    </row>
    <row r="33" spans="1:3" x14ac:dyDescent="0.25">
      <c r="A33" s="593"/>
      <c r="B33" s="598"/>
      <c r="C33" s="601"/>
    </row>
    <row r="34" spans="1:3" ht="13.8" x14ac:dyDescent="0.25">
      <c r="A34" s="593" t="s">
        <v>449</v>
      </c>
      <c r="B34" s="605" t="s">
        <v>667</v>
      </c>
      <c r="C34" s="595">
        <f>SUM(C35:C35)</f>
        <v>0</v>
      </c>
    </row>
    <row r="35" spans="1:3" x14ac:dyDescent="0.25">
      <c r="A35" s="593" t="s">
        <v>502</v>
      </c>
      <c r="B35" s="600"/>
      <c r="C35" s="599"/>
    </row>
    <row r="36" spans="1:3" ht="13.8" x14ac:dyDescent="0.25">
      <c r="A36" s="593" t="s">
        <v>450</v>
      </c>
      <c r="B36" s="605" t="s">
        <v>668</v>
      </c>
      <c r="C36" s="595">
        <f>SUM(C37:C37)</f>
        <v>0</v>
      </c>
    </row>
    <row r="37" spans="1:3" ht="13.8" thickBot="1" x14ac:dyDescent="0.3">
      <c r="A37" s="607"/>
      <c r="B37" s="608"/>
      <c r="C37" s="609"/>
    </row>
    <row r="38" spans="1:3" ht="13.8" thickBot="1" x14ac:dyDescent="0.3">
      <c r="A38" s="610"/>
      <c r="B38" s="611" t="s">
        <v>669</v>
      </c>
      <c r="C38" s="612">
        <f>C6+C27+C34+C36</f>
        <v>107160595</v>
      </c>
    </row>
  </sheetData>
  <mergeCells count="1">
    <mergeCell ref="B2:C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17"/>
  <sheetViews>
    <sheetView workbookViewId="0">
      <selection activeCell="C21" sqref="C21"/>
    </sheetView>
  </sheetViews>
  <sheetFormatPr defaultRowHeight="13.2" x14ac:dyDescent="0.25"/>
  <cols>
    <col min="2" max="2" width="38.77734375" customWidth="1"/>
    <col min="3" max="3" width="27" customWidth="1"/>
    <col min="4" max="4" width="27" style="561" customWidth="1"/>
    <col min="5" max="5" width="27" customWidth="1"/>
  </cols>
  <sheetData>
    <row r="1" spans="1:5" x14ac:dyDescent="0.25">
      <c r="C1" s="769" t="s">
        <v>705</v>
      </c>
      <c r="D1" s="769"/>
      <c r="E1" s="769"/>
    </row>
    <row r="3" spans="1:5" x14ac:dyDescent="0.25">
      <c r="A3" s="767" t="s">
        <v>670</v>
      </c>
      <c r="B3" s="768"/>
      <c r="C3" s="768"/>
      <c r="D3" s="768"/>
      <c r="E3" s="768"/>
    </row>
    <row r="4" spans="1:5" x14ac:dyDescent="0.25">
      <c r="A4" s="549" t="s">
        <v>671</v>
      </c>
      <c r="B4" s="549" t="s">
        <v>52</v>
      </c>
      <c r="C4" s="549" t="s">
        <v>672</v>
      </c>
      <c r="D4" s="549" t="s">
        <v>673</v>
      </c>
      <c r="E4" s="549" t="s">
        <v>674</v>
      </c>
    </row>
    <row r="5" spans="1:5" x14ac:dyDescent="0.25">
      <c r="A5" s="549">
        <v>1</v>
      </c>
      <c r="B5" s="549">
        <v>2</v>
      </c>
      <c r="C5" s="549">
        <v>4</v>
      </c>
      <c r="D5" s="549">
        <v>4</v>
      </c>
      <c r="E5" s="549">
        <v>4</v>
      </c>
    </row>
    <row r="6" spans="1:5" ht="26.4" x14ac:dyDescent="0.25">
      <c r="A6" s="550" t="s">
        <v>17</v>
      </c>
      <c r="B6" s="551" t="s">
        <v>707</v>
      </c>
      <c r="C6" s="552">
        <v>168000</v>
      </c>
      <c r="D6" s="552">
        <v>200000</v>
      </c>
      <c r="E6" s="552">
        <v>100000</v>
      </c>
    </row>
    <row r="7" spans="1:5" ht="26.4" x14ac:dyDescent="0.25">
      <c r="A7" s="550" t="s">
        <v>18</v>
      </c>
      <c r="B7" s="551" t="s">
        <v>675</v>
      </c>
      <c r="C7" s="552">
        <v>232000</v>
      </c>
      <c r="D7" s="552">
        <v>200000</v>
      </c>
      <c r="E7" s="552">
        <v>150000</v>
      </c>
    </row>
    <row r="8" spans="1:5" ht="26.4" x14ac:dyDescent="0.25">
      <c r="A8" s="550" t="s">
        <v>19</v>
      </c>
      <c r="B8" s="551" t="s">
        <v>708</v>
      </c>
      <c r="C8" s="552">
        <v>200000</v>
      </c>
      <c r="D8" s="552">
        <v>200000</v>
      </c>
      <c r="E8" s="552">
        <v>150000</v>
      </c>
    </row>
    <row r="9" spans="1:5" x14ac:dyDescent="0.25">
      <c r="A9" s="550" t="s">
        <v>22</v>
      </c>
      <c r="B9" s="551" t="s">
        <v>709</v>
      </c>
      <c r="C9" s="552">
        <v>260000</v>
      </c>
      <c r="D9" s="552">
        <v>260000</v>
      </c>
      <c r="E9" s="552">
        <v>220000</v>
      </c>
    </row>
    <row r="10" spans="1:5" x14ac:dyDescent="0.25">
      <c r="A10" s="550" t="s">
        <v>27</v>
      </c>
      <c r="B10" s="551" t="s">
        <v>676</v>
      </c>
      <c r="C10" s="552">
        <v>1072000</v>
      </c>
      <c r="D10" s="552">
        <v>1050000</v>
      </c>
      <c r="E10" s="552">
        <v>1250000</v>
      </c>
    </row>
    <row r="11" spans="1:5" x14ac:dyDescent="0.25">
      <c r="A11" s="553" t="s">
        <v>25</v>
      </c>
      <c r="B11" s="554" t="s">
        <v>677</v>
      </c>
      <c r="C11" s="555">
        <f>SUM(C6:C9)</f>
        <v>860000</v>
      </c>
      <c r="D11" s="555">
        <f>SUM(D6:D10)</f>
        <v>1910000</v>
      </c>
      <c r="E11" s="555">
        <f>SUM(E6:E10)</f>
        <v>1870000</v>
      </c>
    </row>
    <row r="12" spans="1:5" x14ac:dyDescent="0.25">
      <c r="A12" s="550" t="s">
        <v>26</v>
      </c>
      <c r="B12" s="551" t="s">
        <v>710</v>
      </c>
      <c r="C12" s="552">
        <v>150000</v>
      </c>
      <c r="D12" s="552">
        <v>150000</v>
      </c>
      <c r="E12" s="552">
        <v>240000</v>
      </c>
    </row>
    <row r="13" spans="1:5" x14ac:dyDescent="0.25">
      <c r="A13" s="550" t="s">
        <v>28</v>
      </c>
      <c r="B13" s="551" t="s">
        <v>678</v>
      </c>
      <c r="C13" s="552">
        <v>278000</v>
      </c>
      <c r="D13" s="552">
        <v>400000</v>
      </c>
      <c r="E13" s="552">
        <v>350000</v>
      </c>
    </row>
    <row r="14" spans="1:5" x14ac:dyDescent="0.25">
      <c r="A14" s="550" t="s">
        <v>31</v>
      </c>
      <c r="B14" s="551" t="s">
        <v>679</v>
      </c>
      <c r="C14" s="552">
        <v>300000</v>
      </c>
      <c r="D14" s="552">
        <v>300000</v>
      </c>
      <c r="E14" s="552">
        <v>300000</v>
      </c>
    </row>
    <row r="15" spans="1:5" x14ac:dyDescent="0.25">
      <c r="A15" s="553" t="s">
        <v>32</v>
      </c>
      <c r="B15" s="554" t="s">
        <v>680</v>
      </c>
      <c r="C15" s="556">
        <f>SUM(C12:C14)</f>
        <v>728000</v>
      </c>
      <c r="D15" s="556">
        <f>SUM(D12:D14)</f>
        <v>850000</v>
      </c>
      <c r="E15" s="556">
        <f>SUM(E12:E14)</f>
        <v>890000</v>
      </c>
    </row>
    <row r="16" spans="1:5" x14ac:dyDescent="0.25">
      <c r="A16" s="553" t="s">
        <v>33</v>
      </c>
      <c r="B16" s="557" t="s">
        <v>681</v>
      </c>
      <c r="C16" s="555">
        <f>C11+C15</f>
        <v>1588000</v>
      </c>
      <c r="D16" s="555">
        <f>D11+D15</f>
        <v>2760000</v>
      </c>
      <c r="E16" s="555">
        <f>E11+E15</f>
        <v>2760000</v>
      </c>
    </row>
    <row r="17" spans="1:5" x14ac:dyDescent="0.25">
      <c r="A17" s="558"/>
      <c r="B17" s="559" t="s">
        <v>682</v>
      </c>
      <c r="C17" s="560">
        <f>SUM(C16:C16)</f>
        <v>1588000</v>
      </c>
      <c r="D17" s="560">
        <f>SUM(D16:D16)</f>
        <v>2760000</v>
      </c>
      <c r="E17" s="560">
        <f>SUM(E16:E16)</f>
        <v>2760000</v>
      </c>
    </row>
  </sheetData>
  <mergeCells count="2">
    <mergeCell ref="A3:E3"/>
    <mergeCell ref="C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D16"/>
  <sheetViews>
    <sheetView workbookViewId="0">
      <selection activeCell="F40" sqref="F40"/>
    </sheetView>
  </sheetViews>
  <sheetFormatPr defaultRowHeight="13.2" x14ac:dyDescent="0.25"/>
  <cols>
    <col min="2" max="2" width="10.44140625" bestFit="1" customWidth="1"/>
    <col min="3" max="3" width="50.44140625" customWidth="1"/>
    <col min="4" max="4" width="17.44140625" customWidth="1"/>
  </cols>
  <sheetData>
    <row r="1" spans="1:4" x14ac:dyDescent="0.25">
      <c r="B1" s="769" t="s">
        <v>704</v>
      </c>
      <c r="C1" s="769"/>
      <c r="D1" s="769"/>
    </row>
    <row r="2" spans="1:4" ht="13.8" thickBot="1" x14ac:dyDescent="0.3">
      <c r="A2" s="562"/>
      <c r="B2" s="562"/>
      <c r="C2" s="562"/>
      <c r="D2" s="563" t="s">
        <v>649</v>
      </c>
    </row>
    <row r="3" spans="1:4" ht="20.399999999999999" x14ac:dyDescent="0.25">
      <c r="A3" s="564" t="s">
        <v>683</v>
      </c>
      <c r="B3" s="565" t="s">
        <v>684</v>
      </c>
      <c r="C3" s="565" t="s">
        <v>685</v>
      </c>
      <c r="D3" s="566" t="s">
        <v>686</v>
      </c>
    </row>
    <row r="4" spans="1:4" x14ac:dyDescent="0.25">
      <c r="A4" s="567"/>
      <c r="B4" s="568" t="s">
        <v>687</v>
      </c>
      <c r="C4" s="569"/>
      <c r="D4" s="570"/>
    </row>
    <row r="5" spans="1:4" x14ac:dyDescent="0.25">
      <c r="A5" s="567"/>
      <c r="B5" s="568" t="s">
        <v>687</v>
      </c>
      <c r="C5" s="569"/>
      <c r="D5" s="571"/>
    </row>
    <row r="6" spans="1:4" x14ac:dyDescent="0.25">
      <c r="A6" s="567"/>
      <c r="B6" s="568" t="s">
        <v>687</v>
      </c>
      <c r="C6" s="572"/>
      <c r="D6" s="573"/>
    </row>
    <row r="7" spans="1:4" x14ac:dyDescent="0.25">
      <c r="A7" s="567"/>
      <c r="B7" s="568" t="s">
        <v>687</v>
      </c>
      <c r="C7" s="572"/>
      <c r="D7" s="573"/>
    </row>
    <row r="8" spans="1:4" x14ac:dyDescent="0.25">
      <c r="A8" s="574"/>
      <c r="B8" s="575" t="s">
        <v>687</v>
      </c>
      <c r="C8" s="576" t="s">
        <v>688</v>
      </c>
      <c r="D8" s="577">
        <f>SUM(D4:D7)</f>
        <v>0</v>
      </c>
    </row>
    <row r="9" spans="1:4" x14ac:dyDescent="0.25">
      <c r="A9" s="567"/>
      <c r="B9" s="568" t="s">
        <v>689</v>
      </c>
      <c r="C9" s="568"/>
      <c r="D9" s="578"/>
    </row>
    <row r="10" spans="1:4" x14ac:dyDescent="0.25">
      <c r="A10" s="567"/>
      <c r="B10" s="568" t="s">
        <v>689</v>
      </c>
      <c r="C10" s="569"/>
      <c r="D10" s="570"/>
    </row>
    <row r="11" spans="1:4" x14ac:dyDescent="0.25">
      <c r="A11" s="567"/>
      <c r="B11" s="568" t="s">
        <v>689</v>
      </c>
      <c r="C11" s="524"/>
      <c r="D11" s="573"/>
    </row>
    <row r="12" spans="1:4" x14ac:dyDescent="0.25">
      <c r="A12" s="567"/>
      <c r="B12" s="568"/>
      <c r="C12" s="524"/>
      <c r="D12" s="573"/>
    </row>
    <row r="13" spans="1:4" x14ac:dyDescent="0.25">
      <c r="A13" s="567"/>
      <c r="B13" s="568"/>
      <c r="C13" s="524"/>
      <c r="D13" s="573"/>
    </row>
    <row r="14" spans="1:4" ht="13.5" customHeight="1" x14ac:dyDescent="0.25">
      <c r="A14" s="567"/>
      <c r="B14" s="568"/>
      <c r="C14" s="524"/>
      <c r="D14" s="573"/>
    </row>
    <row r="15" spans="1:4" x14ac:dyDescent="0.25">
      <c r="A15" s="579"/>
      <c r="B15" s="580" t="s">
        <v>689</v>
      </c>
      <c r="C15" s="580" t="s">
        <v>690</v>
      </c>
      <c r="D15" s="581">
        <f>SUM(D9:D14)</f>
        <v>0</v>
      </c>
    </row>
    <row r="16" spans="1:4" ht="13.8" thickBot="1" x14ac:dyDescent="0.3">
      <c r="A16" s="582"/>
      <c r="B16" s="583"/>
      <c r="C16" s="583" t="s">
        <v>691</v>
      </c>
      <c r="D16" s="584">
        <f>D8+D15</f>
        <v>0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6">
    <tabColor rgb="FF92D050"/>
  </sheetPr>
  <dimension ref="A2:B16"/>
  <sheetViews>
    <sheetView zoomScale="120" zoomScaleNormal="120" workbookViewId="0">
      <selection activeCell="B36" sqref="B36"/>
    </sheetView>
  </sheetViews>
  <sheetFormatPr defaultRowHeight="13.2" x14ac:dyDescent="0.25"/>
  <cols>
    <col min="1" max="1" width="48.44140625" customWidth="1"/>
    <col min="2" max="2" width="73.44140625" customWidth="1"/>
    <col min="3" max="3" width="16.77734375" customWidth="1"/>
  </cols>
  <sheetData>
    <row r="2" spans="1:2" ht="15.6" x14ac:dyDescent="0.3">
      <c r="A2" s="54" t="s">
        <v>103</v>
      </c>
    </row>
    <row r="4" spans="1:2" x14ac:dyDescent="0.25">
      <c r="A4" s="78"/>
      <c r="B4" s="78"/>
    </row>
    <row r="5" spans="1:2" s="91" customFormat="1" ht="15.6" x14ac:dyDescent="0.3">
      <c r="A5" s="54" t="str">
        <f>CONCATENATE(ALAPADATOK!D7," évi előirányzat BEVÉTELEK")</f>
        <v>2025. évi előirányzat BEVÉTELEK</v>
      </c>
      <c r="B5" s="90"/>
    </row>
    <row r="6" spans="1:2" x14ac:dyDescent="0.25">
      <c r="A6" s="78"/>
      <c r="B6" s="78"/>
    </row>
    <row r="7" spans="1:2" x14ac:dyDescent="0.25">
      <c r="A7" s="78" t="s">
        <v>565</v>
      </c>
      <c r="B7" s="78" t="s">
        <v>571</v>
      </c>
    </row>
    <row r="8" spans="1:2" x14ac:dyDescent="0.25">
      <c r="A8" s="78" t="s">
        <v>566</v>
      </c>
      <c r="B8" s="78" t="s">
        <v>572</v>
      </c>
    </row>
    <row r="9" spans="1:2" x14ac:dyDescent="0.25">
      <c r="A9" s="78" t="s">
        <v>567</v>
      </c>
      <c r="B9" s="78" t="s">
        <v>573</v>
      </c>
    </row>
    <row r="10" spans="1:2" x14ac:dyDescent="0.25">
      <c r="A10" s="78"/>
      <c r="B10" s="78"/>
    </row>
    <row r="11" spans="1:2" x14ac:dyDescent="0.25">
      <c r="A11" s="78"/>
      <c r="B11" s="78"/>
    </row>
    <row r="12" spans="1:2" s="91" customFormat="1" ht="15.6" x14ac:dyDescent="0.3">
      <c r="A12" s="54" t="str">
        <f>+CONCATENATE(LEFT(A5,4),". évi előirányzat KIADÁSOK")</f>
        <v>2025. évi előirányzat KIADÁSOK</v>
      </c>
      <c r="B12" s="90"/>
    </row>
    <row r="13" spans="1:2" x14ac:dyDescent="0.25">
      <c r="A13" s="78"/>
      <c r="B13" s="78"/>
    </row>
    <row r="14" spans="1:2" x14ac:dyDescent="0.25">
      <c r="A14" s="78" t="s">
        <v>568</v>
      </c>
      <c r="B14" s="78" t="s">
        <v>574</v>
      </c>
    </row>
    <row r="15" spans="1:2" x14ac:dyDescent="0.25">
      <c r="A15" s="78" t="s">
        <v>570</v>
      </c>
      <c r="B15" s="78" t="s">
        <v>575</v>
      </c>
    </row>
    <row r="16" spans="1:2" x14ac:dyDescent="0.25">
      <c r="A16" s="78" t="s">
        <v>569</v>
      </c>
      <c r="B16" s="78" t="s">
        <v>576</v>
      </c>
    </row>
  </sheetData>
  <phoneticPr fontId="28" type="noConversion"/>
  <pageMargins left="1.0629921259842521" right="1.0236220472440944" top="0.78740157480314965" bottom="0.78740157480314965" header="0.70866141732283472" footer="0.7086614173228347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2">
    <tabColor rgb="FF92D050"/>
  </sheetPr>
  <dimension ref="A1:L165"/>
  <sheetViews>
    <sheetView zoomScaleNormal="100" zoomScaleSheetLayoutView="100" workbookViewId="0">
      <selection activeCell="A6" sqref="A6:C165"/>
    </sheetView>
  </sheetViews>
  <sheetFormatPr defaultColWidth="9.33203125" defaultRowHeight="15.6" x14ac:dyDescent="0.3"/>
  <cols>
    <col min="1" max="1" width="6.77734375" style="407" customWidth="1"/>
    <col min="2" max="2" width="99.33203125" style="15" customWidth="1"/>
    <col min="3" max="3" width="21.6640625" style="219" customWidth="1"/>
    <col min="4" max="4" width="11.88671875" style="15" customWidth="1"/>
    <col min="5" max="5" width="11.77734375" style="15" bestFit="1" customWidth="1"/>
    <col min="6" max="6" width="9.77734375" style="15" bestFit="1" customWidth="1"/>
    <col min="7" max="7" width="10.6640625" style="15" bestFit="1" customWidth="1"/>
    <col min="8" max="16384" width="9.33203125" style="15"/>
  </cols>
  <sheetData>
    <row r="1" spans="1:3" ht="18.75" customHeight="1" x14ac:dyDescent="0.3">
      <c r="A1" s="414"/>
      <c r="B1" s="668" t="str">
        <f>CONCATENATE("1. melléklet ",ALAPADATOK!A7," ",ALAPADATOK!B7," ",ALAPADATOK!C7," ",ALAPADATOK!D7," ",ALAPADATOK!E7," ",ALAPADATOK!F7," ",ALAPADATOK!G7," ",ALAPADATOK!H7)</f>
        <v>1. melléklet a … / 2025. ( … ) önkormányzati rendelethez</v>
      </c>
      <c r="C1" s="669"/>
    </row>
    <row r="2" spans="1:3" ht="21.9" customHeight="1" x14ac:dyDescent="0.3">
      <c r="A2" s="675" t="str">
        <f>CONCATENATE(ALAPADATOK!A3)</f>
        <v>Alsónyék Község Önkormányzata</v>
      </c>
      <c r="B2" s="676"/>
      <c r="C2" s="676"/>
    </row>
    <row r="3" spans="1:3" ht="21.9" customHeight="1" x14ac:dyDescent="0.3">
      <c r="A3" s="675" t="str">
        <f>CONCATENATE(ALAPADATOK!D7," ÉVI KÖLTSÉGVETÉS")</f>
        <v>2025. ÉVI KÖLTSÉGVETÉS</v>
      </c>
      <c r="B3" s="676"/>
      <c r="C3" s="676"/>
    </row>
    <row r="4" spans="1:3" ht="21.9" customHeight="1" x14ac:dyDescent="0.3">
      <c r="A4" s="675" t="s">
        <v>311</v>
      </c>
      <c r="B4" s="676"/>
      <c r="C4" s="676"/>
    </row>
    <row r="5" spans="1:3" ht="21.9" customHeight="1" x14ac:dyDescent="0.3">
      <c r="A5" s="303"/>
      <c r="B5" s="411"/>
      <c r="C5" s="303"/>
    </row>
    <row r="6" spans="1:3" ht="15.15" customHeight="1" x14ac:dyDescent="0.3">
      <c r="A6" s="670" t="s">
        <v>13</v>
      </c>
      <c r="B6" s="670"/>
      <c r="C6" s="670"/>
    </row>
    <row r="7" spans="1:3" ht="15.15" customHeight="1" thickBot="1" x14ac:dyDescent="0.35">
      <c r="A7" s="671"/>
      <c r="B7" s="671"/>
      <c r="C7" s="419" t="s">
        <v>304</v>
      </c>
    </row>
    <row r="8" spans="1:3" ht="24" customHeight="1" thickBot="1" x14ac:dyDescent="0.35">
      <c r="A8" s="513" t="s">
        <v>60</v>
      </c>
      <c r="B8" s="304" t="s">
        <v>15</v>
      </c>
      <c r="C8" s="420" t="str">
        <f>+CONCATENATE(LEFT(KV_ÖSSZEFÜGGÉSEK!A5,4),". évi előirányzat")</f>
        <v>2025. évi előirányzat</v>
      </c>
    </row>
    <row r="9" spans="1:3" s="16" customFormat="1" ht="12" customHeight="1" thickBot="1" x14ac:dyDescent="0.25">
      <c r="A9" s="415"/>
      <c r="B9" s="284" t="s">
        <v>281</v>
      </c>
      <c r="C9" s="285" t="s">
        <v>282</v>
      </c>
    </row>
    <row r="10" spans="1:3" s="1" customFormat="1" ht="12" customHeight="1" thickBot="1" x14ac:dyDescent="0.3">
      <c r="A10" s="374">
        <v>1</v>
      </c>
      <c r="B10" s="324" t="s">
        <v>558</v>
      </c>
      <c r="C10" s="177">
        <f>C19+C20+C21+C22+C23</f>
        <v>28302912</v>
      </c>
    </row>
    <row r="11" spans="1:3" s="1" customFormat="1" ht="12" customHeight="1" x14ac:dyDescent="0.25">
      <c r="A11" s="371" t="s">
        <v>425</v>
      </c>
      <c r="B11" s="325" t="s">
        <v>176</v>
      </c>
      <c r="C11" s="180">
        <v>14380414</v>
      </c>
    </row>
    <row r="12" spans="1:3" s="1" customFormat="1" ht="12" customHeight="1" x14ac:dyDescent="0.25">
      <c r="A12" s="371" t="s">
        <v>426</v>
      </c>
      <c r="B12" s="326" t="s">
        <v>177</v>
      </c>
      <c r="C12" s="180"/>
    </row>
    <row r="13" spans="1:3" s="1" customFormat="1" ht="12" customHeight="1" x14ac:dyDescent="0.25">
      <c r="A13" s="371" t="s">
        <v>427</v>
      </c>
      <c r="B13" s="326" t="s">
        <v>178</v>
      </c>
      <c r="C13" s="180">
        <v>6786100</v>
      </c>
    </row>
    <row r="14" spans="1:3" s="1" customFormat="1" ht="12" customHeight="1" x14ac:dyDescent="0.25">
      <c r="A14" s="371" t="s">
        <v>428</v>
      </c>
      <c r="B14" s="326" t="s">
        <v>527</v>
      </c>
      <c r="C14" s="180">
        <v>222015</v>
      </c>
    </row>
    <row r="15" spans="1:3" s="1" customFormat="1" ht="12" customHeight="1" x14ac:dyDescent="0.25">
      <c r="A15" s="371" t="s">
        <v>429</v>
      </c>
      <c r="B15" s="326" t="s">
        <v>179</v>
      </c>
      <c r="C15" s="658">
        <v>3012876</v>
      </c>
    </row>
    <row r="16" spans="1:3" s="1" customFormat="1" ht="12" customHeight="1" x14ac:dyDescent="0.25">
      <c r="A16" s="371" t="s">
        <v>430</v>
      </c>
      <c r="B16" s="326" t="s">
        <v>259</v>
      </c>
      <c r="C16" s="180"/>
    </row>
    <row r="17" spans="1:6" s="1" customFormat="1" ht="12" customHeight="1" x14ac:dyDescent="0.25">
      <c r="A17" s="371" t="s">
        <v>446</v>
      </c>
      <c r="B17" s="280" t="s">
        <v>260</v>
      </c>
      <c r="C17" s="180"/>
    </row>
    <row r="18" spans="1:6" s="1" customFormat="1" ht="12" customHeight="1" x14ac:dyDescent="0.25">
      <c r="A18" s="371" t="s">
        <v>424</v>
      </c>
      <c r="B18" s="280" t="s">
        <v>180</v>
      </c>
      <c r="C18" s="514"/>
    </row>
    <row r="19" spans="1:6" s="1" customFormat="1" ht="12" customHeight="1" x14ac:dyDescent="0.25">
      <c r="A19" s="371" t="s">
        <v>339</v>
      </c>
      <c r="B19" s="394" t="s">
        <v>507</v>
      </c>
      <c r="C19" s="386">
        <f>SUM(C11:C18)</f>
        <v>24401405</v>
      </c>
    </row>
    <row r="20" spans="1:6" s="1" customFormat="1" ht="12" customHeight="1" x14ac:dyDescent="0.25">
      <c r="A20" s="371" t="s">
        <v>340</v>
      </c>
      <c r="B20" s="325" t="s">
        <v>181</v>
      </c>
      <c r="C20" s="180"/>
    </row>
    <row r="21" spans="1:6" s="1" customFormat="1" ht="12" customHeight="1" x14ac:dyDescent="0.25">
      <c r="A21" s="371" t="s">
        <v>341</v>
      </c>
      <c r="B21" s="326" t="s">
        <v>253</v>
      </c>
      <c r="C21" s="180"/>
    </row>
    <row r="22" spans="1:6" s="1" customFormat="1" ht="12" customHeight="1" x14ac:dyDescent="0.25">
      <c r="A22" s="371" t="s">
        <v>431</v>
      </c>
      <c r="B22" s="326" t="s">
        <v>254</v>
      </c>
      <c r="C22" s="180"/>
    </row>
    <row r="23" spans="1:6" s="1" customFormat="1" ht="12" customHeight="1" x14ac:dyDescent="0.25">
      <c r="A23" s="371" t="s">
        <v>432</v>
      </c>
      <c r="B23" s="326" t="s">
        <v>182</v>
      </c>
      <c r="C23" s="180">
        <v>3901507</v>
      </c>
      <c r="E23" s="1">
        <v>5954799</v>
      </c>
      <c r="F23" s="661">
        <f>E23-C23</f>
        <v>2053292</v>
      </c>
    </row>
    <row r="24" spans="1:6" s="1" customFormat="1" ht="12" customHeight="1" thickBot="1" x14ac:dyDescent="0.3">
      <c r="A24" s="371" t="s">
        <v>447</v>
      </c>
      <c r="B24" s="280" t="s">
        <v>495</v>
      </c>
      <c r="C24" s="180"/>
    </row>
    <row r="25" spans="1:6" s="1" customFormat="1" ht="12" customHeight="1" thickBot="1" x14ac:dyDescent="0.3">
      <c r="A25" s="374">
        <v>16</v>
      </c>
      <c r="B25" s="324" t="s">
        <v>496</v>
      </c>
      <c r="C25" s="177">
        <f>+C26+C27+C28+C29+C30</f>
        <v>104901720</v>
      </c>
    </row>
    <row r="26" spans="1:6" s="1" customFormat="1" ht="12" customHeight="1" x14ac:dyDescent="0.25">
      <c r="A26" s="371" t="s">
        <v>434</v>
      </c>
      <c r="B26" s="325" t="s">
        <v>183</v>
      </c>
      <c r="C26" s="180"/>
    </row>
    <row r="27" spans="1:6" s="1" customFormat="1" ht="12" customHeight="1" x14ac:dyDescent="0.25">
      <c r="A27" s="371" t="s">
        <v>435</v>
      </c>
      <c r="B27" s="326" t="s">
        <v>184</v>
      </c>
      <c r="C27" s="179"/>
    </row>
    <row r="28" spans="1:6" s="1" customFormat="1" ht="12" customHeight="1" x14ac:dyDescent="0.25">
      <c r="A28" s="371" t="s">
        <v>436</v>
      </c>
      <c r="B28" s="326" t="s">
        <v>255</v>
      </c>
      <c r="C28" s="179"/>
    </row>
    <row r="29" spans="1:6" s="1" customFormat="1" ht="12" customHeight="1" x14ac:dyDescent="0.25">
      <c r="A29" s="371" t="s">
        <v>437</v>
      </c>
      <c r="B29" s="326" t="s">
        <v>256</v>
      </c>
      <c r="C29" s="179"/>
    </row>
    <row r="30" spans="1:6" s="281" customFormat="1" ht="12" customHeight="1" x14ac:dyDescent="0.25">
      <c r="A30" s="371" t="s">
        <v>438</v>
      </c>
      <c r="B30" s="326" t="s">
        <v>185</v>
      </c>
      <c r="C30" s="659">
        <v>104901720</v>
      </c>
      <c r="D30" s="281">
        <v>103876675</v>
      </c>
      <c r="E30" s="662">
        <f>D30-C30</f>
        <v>-1025045</v>
      </c>
    </row>
    <row r="31" spans="1:6" s="1" customFormat="1" ht="12" customHeight="1" thickBot="1" x14ac:dyDescent="0.3">
      <c r="A31" s="371" t="s">
        <v>448</v>
      </c>
      <c r="B31" s="280" t="s">
        <v>532</v>
      </c>
      <c r="C31" s="179">
        <v>104901720</v>
      </c>
    </row>
    <row r="32" spans="1:6" s="1" customFormat="1" ht="12" customHeight="1" thickBot="1" x14ac:dyDescent="0.3">
      <c r="A32" s="374">
        <v>23</v>
      </c>
      <c r="B32" s="324" t="s">
        <v>497</v>
      </c>
      <c r="C32" s="183">
        <f>SUM(C33:C39)</f>
        <v>52800000</v>
      </c>
    </row>
    <row r="33" spans="1:3" s="1" customFormat="1" ht="12" customHeight="1" x14ac:dyDescent="0.25">
      <c r="A33" s="371" t="s">
        <v>440</v>
      </c>
      <c r="B33" s="325" t="s">
        <v>300</v>
      </c>
      <c r="C33" s="180">
        <v>200000</v>
      </c>
    </row>
    <row r="34" spans="1:3" s="1" customFormat="1" ht="12" customHeight="1" x14ac:dyDescent="0.25">
      <c r="A34" s="371" t="s">
        <v>441</v>
      </c>
      <c r="B34" s="326" t="s">
        <v>585</v>
      </c>
      <c r="C34" s="179">
        <v>2500000</v>
      </c>
    </row>
    <row r="35" spans="1:3" s="1" customFormat="1" ht="12" customHeight="1" x14ac:dyDescent="0.25">
      <c r="A35" s="371" t="s">
        <v>442</v>
      </c>
      <c r="B35" s="326" t="s">
        <v>301</v>
      </c>
      <c r="C35" s="179">
        <v>50000000</v>
      </c>
    </row>
    <row r="36" spans="1:3" s="1" customFormat="1" ht="12" customHeight="1" x14ac:dyDescent="0.25">
      <c r="A36" s="371" t="s">
        <v>443</v>
      </c>
      <c r="B36" s="326" t="s">
        <v>419</v>
      </c>
      <c r="C36" s="179"/>
    </row>
    <row r="37" spans="1:3" s="1" customFormat="1" ht="12" customHeight="1" x14ac:dyDescent="0.25">
      <c r="A37" s="371" t="s">
        <v>444</v>
      </c>
      <c r="B37" s="326" t="s">
        <v>186</v>
      </c>
      <c r="C37" s="179"/>
    </row>
    <row r="38" spans="1:3" s="1" customFormat="1" ht="12" customHeight="1" x14ac:dyDescent="0.25">
      <c r="A38" s="371" t="s">
        <v>445</v>
      </c>
      <c r="B38" s="326" t="s">
        <v>412</v>
      </c>
      <c r="C38" s="179"/>
    </row>
    <row r="39" spans="1:3" s="1" customFormat="1" ht="12" customHeight="1" thickBot="1" x14ac:dyDescent="0.3">
      <c r="A39" s="371" t="s">
        <v>449</v>
      </c>
      <c r="B39" s="395" t="s">
        <v>586</v>
      </c>
      <c r="C39" s="181">
        <v>100000</v>
      </c>
    </row>
    <row r="40" spans="1:3" s="1" customFormat="1" ht="12" customHeight="1" thickBot="1" x14ac:dyDescent="0.3">
      <c r="A40" s="374">
        <v>31</v>
      </c>
      <c r="B40" s="324" t="s">
        <v>498</v>
      </c>
      <c r="C40" s="177">
        <f>SUM(C41:C51)</f>
        <v>5626000</v>
      </c>
    </row>
    <row r="41" spans="1:3" s="1" customFormat="1" ht="12" customHeight="1" x14ac:dyDescent="0.25">
      <c r="A41" s="371" t="s">
        <v>450</v>
      </c>
      <c r="B41" s="325" t="s">
        <v>187</v>
      </c>
      <c r="C41" s="180"/>
    </row>
    <row r="42" spans="1:3" s="1" customFormat="1" ht="12" customHeight="1" x14ac:dyDescent="0.25">
      <c r="A42" s="371" t="s">
        <v>451</v>
      </c>
      <c r="B42" s="326" t="s">
        <v>188</v>
      </c>
      <c r="C42" s="179">
        <v>1000000</v>
      </c>
    </row>
    <row r="43" spans="1:3" s="1" customFormat="1" ht="12" customHeight="1" x14ac:dyDescent="0.25">
      <c r="A43" s="371" t="s">
        <v>452</v>
      </c>
      <c r="B43" s="326" t="s">
        <v>189</v>
      </c>
      <c r="C43" s="179">
        <v>20000</v>
      </c>
    </row>
    <row r="44" spans="1:3" s="1" customFormat="1" ht="12" customHeight="1" x14ac:dyDescent="0.25">
      <c r="A44" s="371" t="s">
        <v>453</v>
      </c>
      <c r="B44" s="326" t="s">
        <v>190</v>
      </c>
      <c r="C44" s="179">
        <v>3000000</v>
      </c>
    </row>
    <row r="45" spans="1:3" s="1" customFormat="1" ht="12" customHeight="1" x14ac:dyDescent="0.25">
      <c r="A45" s="371" t="s">
        <v>454</v>
      </c>
      <c r="B45" s="326" t="s">
        <v>191</v>
      </c>
      <c r="C45" s="179">
        <v>900000</v>
      </c>
    </row>
    <row r="46" spans="1:3" s="1" customFormat="1" ht="12" customHeight="1" x14ac:dyDescent="0.25">
      <c r="A46" s="371" t="s">
        <v>455</v>
      </c>
      <c r="B46" s="326" t="s">
        <v>192</v>
      </c>
      <c r="C46" s="179">
        <v>266000</v>
      </c>
    </row>
    <row r="47" spans="1:3" s="1" customFormat="1" ht="12" customHeight="1" x14ac:dyDescent="0.25">
      <c r="A47" s="371" t="s">
        <v>456</v>
      </c>
      <c r="B47" s="326" t="s">
        <v>193</v>
      </c>
      <c r="C47" s="179">
        <v>440000</v>
      </c>
    </row>
    <row r="48" spans="1:3" s="1" customFormat="1" ht="12" customHeight="1" x14ac:dyDescent="0.25">
      <c r="A48" s="371" t="s">
        <v>457</v>
      </c>
      <c r="B48" s="326" t="s">
        <v>302</v>
      </c>
      <c r="C48" s="179"/>
    </row>
    <row r="49" spans="1:3" s="1" customFormat="1" ht="12" customHeight="1" x14ac:dyDescent="0.25">
      <c r="A49" s="371" t="s">
        <v>458</v>
      </c>
      <c r="B49" s="326" t="s">
        <v>194</v>
      </c>
      <c r="C49" s="182"/>
    </row>
    <row r="50" spans="1:3" s="1" customFormat="1" ht="12" customHeight="1" x14ac:dyDescent="0.25">
      <c r="A50" s="371" t="s">
        <v>459</v>
      </c>
      <c r="B50" s="280" t="s">
        <v>261</v>
      </c>
      <c r="C50" s="222"/>
    </row>
    <row r="51" spans="1:3" s="1" customFormat="1" ht="12" customHeight="1" thickBot="1" x14ac:dyDescent="0.3">
      <c r="A51" s="371" t="s">
        <v>460</v>
      </c>
      <c r="B51" s="280" t="s">
        <v>195</v>
      </c>
      <c r="C51" s="222"/>
    </row>
    <row r="52" spans="1:3" s="1" customFormat="1" ht="12" customHeight="1" thickBot="1" x14ac:dyDescent="0.3">
      <c r="A52" s="374">
        <v>43</v>
      </c>
      <c r="B52" s="324" t="s">
        <v>499</v>
      </c>
      <c r="C52" s="177">
        <f>SUM(C53:C57)</f>
        <v>0</v>
      </c>
    </row>
    <row r="53" spans="1:3" s="1" customFormat="1" ht="12" customHeight="1" x14ac:dyDescent="0.25">
      <c r="A53" s="371" t="s">
        <v>461</v>
      </c>
      <c r="B53" s="325" t="s">
        <v>196</v>
      </c>
      <c r="C53" s="228"/>
    </row>
    <row r="54" spans="1:3" s="1" customFormat="1" ht="12" customHeight="1" x14ac:dyDescent="0.25">
      <c r="A54" s="371" t="s">
        <v>462</v>
      </c>
      <c r="B54" s="326" t="s">
        <v>197</v>
      </c>
      <c r="C54" s="182"/>
    </row>
    <row r="55" spans="1:3" s="1" customFormat="1" ht="12" customHeight="1" x14ac:dyDescent="0.25">
      <c r="A55" s="371" t="s">
        <v>463</v>
      </c>
      <c r="B55" s="326" t="s">
        <v>198</v>
      </c>
      <c r="C55" s="182"/>
    </row>
    <row r="56" spans="1:3" s="1" customFormat="1" ht="12" customHeight="1" x14ac:dyDescent="0.25">
      <c r="A56" s="371" t="s">
        <v>464</v>
      </c>
      <c r="B56" s="326" t="s">
        <v>199</v>
      </c>
      <c r="C56" s="182"/>
    </row>
    <row r="57" spans="1:3" s="1" customFormat="1" ht="12" customHeight="1" thickBot="1" x14ac:dyDescent="0.3">
      <c r="A57" s="371" t="s">
        <v>465</v>
      </c>
      <c r="B57" s="280" t="s">
        <v>200</v>
      </c>
      <c r="C57" s="222"/>
    </row>
    <row r="58" spans="1:3" s="1" customFormat="1" ht="12" customHeight="1" thickBot="1" x14ac:dyDescent="0.3">
      <c r="A58" s="374">
        <v>49</v>
      </c>
      <c r="B58" s="324" t="s">
        <v>508</v>
      </c>
      <c r="C58" s="177">
        <f>SUM(C59:C61)</f>
        <v>0</v>
      </c>
    </row>
    <row r="59" spans="1:3" s="1" customFormat="1" ht="12" customHeight="1" x14ac:dyDescent="0.25">
      <c r="A59" s="371" t="s">
        <v>466</v>
      </c>
      <c r="B59" s="325" t="s">
        <v>201</v>
      </c>
      <c r="C59" s="180"/>
    </row>
    <row r="60" spans="1:3" s="1" customFormat="1" ht="12" customHeight="1" x14ac:dyDescent="0.25">
      <c r="A60" s="371" t="s">
        <v>467</v>
      </c>
      <c r="B60" s="326" t="s">
        <v>257</v>
      </c>
      <c r="C60" s="179"/>
    </row>
    <row r="61" spans="1:3" s="1" customFormat="1" ht="12" customHeight="1" x14ac:dyDescent="0.25">
      <c r="A61" s="371" t="s">
        <v>468</v>
      </c>
      <c r="B61" s="326" t="s">
        <v>202</v>
      </c>
      <c r="C61" s="179"/>
    </row>
    <row r="62" spans="1:3" s="1" customFormat="1" ht="12" customHeight="1" thickBot="1" x14ac:dyDescent="0.3">
      <c r="A62" s="371" t="s">
        <v>469</v>
      </c>
      <c r="B62" s="280" t="s">
        <v>533</v>
      </c>
      <c r="C62" s="181"/>
    </row>
    <row r="63" spans="1:3" s="1" customFormat="1" ht="12" customHeight="1" thickBot="1" x14ac:dyDescent="0.3">
      <c r="A63" s="374">
        <v>54</v>
      </c>
      <c r="B63" s="327" t="s">
        <v>509</v>
      </c>
      <c r="C63" s="177">
        <f>SUM(C64:C66)</f>
        <v>0</v>
      </c>
    </row>
    <row r="64" spans="1:3" s="1" customFormat="1" ht="12" customHeight="1" x14ac:dyDescent="0.25">
      <c r="A64" s="371" t="s">
        <v>470</v>
      </c>
      <c r="B64" s="325" t="s">
        <v>203</v>
      </c>
      <c r="C64" s="182"/>
    </row>
    <row r="65" spans="1:3" s="1" customFormat="1" ht="12" customHeight="1" x14ac:dyDescent="0.25">
      <c r="A65" s="371" t="s">
        <v>471</v>
      </c>
      <c r="B65" s="326" t="s">
        <v>258</v>
      </c>
      <c r="C65" s="182"/>
    </row>
    <row r="66" spans="1:3" s="1" customFormat="1" ht="12" customHeight="1" x14ac:dyDescent="0.25">
      <c r="A66" s="371" t="s">
        <v>472</v>
      </c>
      <c r="B66" s="326" t="s">
        <v>204</v>
      </c>
      <c r="C66" s="182"/>
    </row>
    <row r="67" spans="1:3" s="1" customFormat="1" ht="12" customHeight="1" thickBot="1" x14ac:dyDescent="0.3">
      <c r="A67" s="371" t="s">
        <v>473</v>
      </c>
      <c r="B67" s="280" t="s">
        <v>534</v>
      </c>
      <c r="C67" s="182"/>
    </row>
    <row r="68" spans="1:3" s="1" customFormat="1" ht="12" customHeight="1" thickBot="1" x14ac:dyDescent="0.3">
      <c r="A68" s="374">
        <v>59</v>
      </c>
      <c r="B68" s="324" t="s">
        <v>510</v>
      </c>
      <c r="C68" s="183">
        <f>+C10+C25+C32+C40+C52+C58+C63</f>
        <v>191630632</v>
      </c>
    </row>
    <row r="69" spans="1:3" s="1" customFormat="1" ht="12" customHeight="1" thickBot="1" x14ac:dyDescent="0.3">
      <c r="A69" s="375">
        <v>60</v>
      </c>
      <c r="B69" s="327" t="s">
        <v>511</v>
      </c>
      <c r="C69" s="177">
        <f>SUM(C70:C72)</f>
        <v>0</v>
      </c>
    </row>
    <row r="70" spans="1:3" s="1" customFormat="1" ht="12" customHeight="1" x14ac:dyDescent="0.25">
      <c r="A70" s="371" t="s">
        <v>474</v>
      </c>
      <c r="B70" s="325" t="s">
        <v>205</v>
      </c>
      <c r="C70" s="182"/>
    </row>
    <row r="71" spans="1:3" s="1" customFormat="1" ht="12" customHeight="1" x14ac:dyDescent="0.25">
      <c r="A71" s="371" t="s">
        <v>475</v>
      </c>
      <c r="B71" s="326" t="s">
        <v>206</v>
      </c>
      <c r="C71" s="182"/>
    </row>
    <row r="72" spans="1:3" s="1" customFormat="1" ht="12" customHeight="1" thickBot="1" x14ac:dyDescent="0.3">
      <c r="A72" s="371" t="s">
        <v>476</v>
      </c>
      <c r="B72" s="243" t="s">
        <v>529</v>
      </c>
      <c r="C72" s="182"/>
    </row>
    <row r="73" spans="1:3" s="1" customFormat="1" ht="12" customHeight="1" thickBot="1" x14ac:dyDescent="0.3">
      <c r="A73" s="375">
        <v>64</v>
      </c>
      <c r="B73" s="327" t="s">
        <v>512</v>
      </c>
      <c r="C73" s="177">
        <f>SUM(C74:C77)</f>
        <v>0</v>
      </c>
    </row>
    <row r="74" spans="1:3" s="1" customFormat="1" ht="12" customHeight="1" x14ac:dyDescent="0.25">
      <c r="A74" s="371" t="s">
        <v>477</v>
      </c>
      <c r="B74" s="325" t="s">
        <v>207</v>
      </c>
      <c r="C74" s="182"/>
    </row>
    <row r="75" spans="1:3" s="1" customFormat="1" ht="12" customHeight="1" x14ac:dyDescent="0.25">
      <c r="A75" s="371" t="s">
        <v>478</v>
      </c>
      <c r="B75" s="326" t="s">
        <v>307</v>
      </c>
      <c r="C75" s="182"/>
    </row>
    <row r="76" spans="1:3" s="1" customFormat="1" ht="12" customHeight="1" x14ac:dyDescent="0.25">
      <c r="A76" s="371" t="s">
        <v>479</v>
      </c>
      <c r="B76" s="280" t="s">
        <v>208</v>
      </c>
      <c r="C76" s="222"/>
    </row>
    <row r="77" spans="1:3" s="1" customFormat="1" ht="12" customHeight="1" thickBot="1" x14ac:dyDescent="0.3">
      <c r="A77" s="371" t="s">
        <v>480</v>
      </c>
      <c r="B77" s="396" t="s">
        <v>308</v>
      </c>
      <c r="C77" s="286"/>
    </row>
    <row r="78" spans="1:3" s="1" customFormat="1" ht="12" customHeight="1" thickBot="1" x14ac:dyDescent="0.3">
      <c r="A78" s="375">
        <v>69</v>
      </c>
      <c r="B78" s="327" t="s">
        <v>513</v>
      </c>
      <c r="C78" s="177">
        <f>SUM(C79:C80)</f>
        <v>29029186</v>
      </c>
    </row>
    <row r="79" spans="1:3" s="1" customFormat="1" ht="12" customHeight="1" x14ac:dyDescent="0.25">
      <c r="A79" s="371" t="s">
        <v>481</v>
      </c>
      <c r="B79" s="397" t="s">
        <v>209</v>
      </c>
      <c r="C79" s="336">
        <v>29029186</v>
      </c>
    </row>
    <row r="80" spans="1:3" s="1" customFormat="1" ht="12" customHeight="1" thickBot="1" x14ac:dyDescent="0.3">
      <c r="A80" s="371" t="s">
        <v>482</v>
      </c>
      <c r="B80" s="396" t="s">
        <v>210</v>
      </c>
      <c r="C80" s="286"/>
    </row>
    <row r="81" spans="1:12" s="1" customFormat="1" ht="12" customHeight="1" thickBot="1" x14ac:dyDescent="0.3">
      <c r="A81" s="375">
        <v>72</v>
      </c>
      <c r="B81" s="327" t="s">
        <v>514</v>
      </c>
      <c r="C81" s="177">
        <f>SUM(C82:C84)</f>
        <v>0</v>
      </c>
    </row>
    <row r="82" spans="1:12" s="1" customFormat="1" ht="12" customHeight="1" x14ac:dyDescent="0.25">
      <c r="A82" s="371" t="s">
        <v>483</v>
      </c>
      <c r="B82" s="325" t="s">
        <v>211</v>
      </c>
      <c r="C82" s="182"/>
    </row>
    <row r="83" spans="1:12" s="1" customFormat="1" ht="12" customHeight="1" x14ac:dyDescent="0.25">
      <c r="A83" s="371" t="s">
        <v>484</v>
      </c>
      <c r="B83" s="326" t="s">
        <v>212</v>
      </c>
      <c r="C83" s="182"/>
    </row>
    <row r="84" spans="1:12" s="1" customFormat="1" ht="12" customHeight="1" thickBot="1" x14ac:dyDescent="0.3">
      <c r="A84" s="372" t="s">
        <v>485</v>
      </c>
      <c r="B84" s="396" t="s">
        <v>309</v>
      </c>
      <c r="C84" s="286"/>
    </row>
    <row r="85" spans="1:12" s="1" customFormat="1" ht="12" customHeight="1" thickBot="1" x14ac:dyDescent="0.3">
      <c r="A85" s="376" t="s">
        <v>486</v>
      </c>
      <c r="B85" s="327" t="s">
        <v>500</v>
      </c>
      <c r="C85" s="177">
        <f>SUM(C86:C89)</f>
        <v>0</v>
      </c>
    </row>
    <row r="86" spans="1:12" s="1" customFormat="1" ht="12" customHeight="1" x14ac:dyDescent="0.25">
      <c r="A86" s="371" t="s">
        <v>487</v>
      </c>
      <c r="B86" s="325" t="s">
        <v>213</v>
      </c>
      <c r="C86" s="182"/>
    </row>
    <row r="87" spans="1:12" s="1" customFormat="1" ht="12" customHeight="1" x14ac:dyDescent="0.25">
      <c r="A87" s="371" t="s">
        <v>488</v>
      </c>
      <c r="B87" s="326" t="s">
        <v>214</v>
      </c>
      <c r="C87" s="182"/>
    </row>
    <row r="88" spans="1:12" s="1" customFormat="1" ht="12" customHeight="1" x14ac:dyDescent="0.25">
      <c r="A88" s="371" t="s">
        <v>489</v>
      </c>
      <c r="B88" s="326" t="s">
        <v>215</v>
      </c>
      <c r="C88" s="182"/>
      <c r="L88" s="511"/>
    </row>
    <row r="89" spans="1:12" s="1" customFormat="1" ht="12" customHeight="1" thickBot="1" x14ac:dyDescent="0.3">
      <c r="A89" s="372" t="s">
        <v>490</v>
      </c>
      <c r="B89" s="280" t="s">
        <v>216</v>
      </c>
      <c r="C89" s="182"/>
    </row>
    <row r="90" spans="1:12" s="1" customFormat="1" ht="13.5" customHeight="1" thickBot="1" x14ac:dyDescent="0.3">
      <c r="A90" s="376" t="s">
        <v>491</v>
      </c>
      <c r="B90" s="327" t="s">
        <v>280</v>
      </c>
      <c r="C90" s="229"/>
    </row>
    <row r="91" spans="1:12" s="1" customFormat="1" ht="15.75" customHeight="1" thickBot="1" x14ac:dyDescent="0.3">
      <c r="A91" s="377" t="s">
        <v>492</v>
      </c>
      <c r="B91" s="327" t="s">
        <v>217</v>
      </c>
      <c r="C91" s="229"/>
    </row>
    <row r="92" spans="1:12" s="1" customFormat="1" ht="16.5" customHeight="1" thickBot="1" x14ac:dyDescent="0.3">
      <c r="A92" s="376" t="s">
        <v>493</v>
      </c>
      <c r="B92" s="328" t="s">
        <v>515</v>
      </c>
      <c r="C92" s="183">
        <f>+C69+C73+C78+C81+C85+C90+C91</f>
        <v>29029186</v>
      </c>
    </row>
    <row r="93" spans="1:12" s="1" customFormat="1" ht="15" customHeight="1" thickBot="1" x14ac:dyDescent="0.3">
      <c r="A93" s="387" t="s">
        <v>494</v>
      </c>
      <c r="B93" s="329" t="s">
        <v>501</v>
      </c>
      <c r="C93" s="183">
        <f>+C68+C92</f>
        <v>220659818</v>
      </c>
    </row>
    <row r="94" spans="1:12" ht="16.5" customHeight="1" x14ac:dyDescent="0.3">
      <c r="A94" s="416"/>
      <c r="B94" s="4"/>
      <c r="C94" s="184"/>
    </row>
    <row r="95" spans="1:12" ht="16.5" customHeight="1" x14ac:dyDescent="0.3">
      <c r="A95" s="674" t="s">
        <v>43</v>
      </c>
      <c r="B95" s="674"/>
      <c r="C95" s="674"/>
    </row>
    <row r="96" spans="1:12" ht="16.5" customHeight="1" thickBot="1" x14ac:dyDescent="0.35">
      <c r="A96" s="672"/>
      <c r="B96" s="672"/>
      <c r="C96" s="421" t="str">
        <f>C7</f>
        <v>Forintban!</v>
      </c>
    </row>
    <row r="97" spans="1:7" s="16" customFormat="1" ht="26.25" customHeight="1" thickBot="1" x14ac:dyDescent="0.25">
      <c r="A97" s="512" t="s">
        <v>60</v>
      </c>
      <c r="B97" s="282" t="s">
        <v>44</v>
      </c>
      <c r="C97" s="422" t="str">
        <f>+C8</f>
        <v>2025. évi előirányzat</v>
      </c>
    </row>
    <row r="98" spans="1:7" ht="12" customHeight="1" thickBot="1" x14ac:dyDescent="0.35">
      <c r="A98" s="417"/>
      <c r="B98" s="282" t="s">
        <v>281</v>
      </c>
      <c r="C98" s="283" t="s">
        <v>282</v>
      </c>
    </row>
    <row r="99" spans="1:7" ht="12" customHeight="1" thickBot="1" x14ac:dyDescent="0.35">
      <c r="A99" s="376">
        <v>1</v>
      </c>
      <c r="B99" s="9" t="s">
        <v>518</v>
      </c>
      <c r="C99" s="176">
        <f>C100+C101+C102+C103+C104</f>
        <v>95148582</v>
      </c>
    </row>
    <row r="100" spans="1:7" ht="12" customHeight="1" x14ac:dyDescent="0.3">
      <c r="A100" s="373" t="s">
        <v>425</v>
      </c>
      <c r="B100" s="401" t="s">
        <v>45</v>
      </c>
      <c r="C100" s="178">
        <v>27500000</v>
      </c>
    </row>
    <row r="101" spans="1:7" ht="12" customHeight="1" x14ac:dyDescent="0.3">
      <c r="A101" s="371" t="s">
        <v>426</v>
      </c>
      <c r="B101" s="331" t="s">
        <v>123</v>
      </c>
      <c r="C101" s="179">
        <v>2955000</v>
      </c>
    </row>
    <row r="102" spans="1:7" ht="12" customHeight="1" x14ac:dyDescent="0.3">
      <c r="A102" s="371" t="s">
        <v>427</v>
      </c>
      <c r="B102" s="331" t="s">
        <v>95</v>
      </c>
      <c r="C102" s="181">
        <v>34514000</v>
      </c>
      <c r="E102" s="15">
        <v>34690861</v>
      </c>
      <c r="F102" s="521">
        <f>E102-C102</f>
        <v>176861</v>
      </c>
    </row>
    <row r="103" spans="1:7" ht="12" customHeight="1" x14ac:dyDescent="0.3">
      <c r="A103" s="371" t="s">
        <v>428</v>
      </c>
      <c r="B103" s="332" t="s">
        <v>124</v>
      </c>
      <c r="C103" s="181">
        <v>2760000</v>
      </c>
    </row>
    <row r="104" spans="1:7" ht="12" customHeight="1" x14ac:dyDescent="0.3">
      <c r="A104" s="371" t="s">
        <v>429</v>
      </c>
      <c r="B104" s="332" t="s">
        <v>125</v>
      </c>
      <c r="C104" s="181">
        <f>SUM(C105:C117)</f>
        <v>27419582</v>
      </c>
      <c r="F104" s="521"/>
    </row>
    <row r="105" spans="1:7" ht="12" customHeight="1" x14ac:dyDescent="0.3">
      <c r="A105" s="371" t="s">
        <v>430</v>
      </c>
      <c r="B105" s="331" t="s">
        <v>535</v>
      </c>
      <c r="C105" s="181"/>
      <c r="E105" s="15" t="s">
        <v>692</v>
      </c>
    </row>
    <row r="106" spans="1:7" ht="12" customHeight="1" x14ac:dyDescent="0.3">
      <c r="A106" s="371" t="s">
        <v>446</v>
      </c>
      <c r="B106" s="89" t="s">
        <v>262</v>
      </c>
      <c r="C106" s="657">
        <v>7708157</v>
      </c>
      <c r="E106" s="653">
        <v>5315241</v>
      </c>
      <c r="G106" s="660">
        <f>E106-C106</f>
        <v>-2392916</v>
      </c>
    </row>
    <row r="107" spans="1:7" ht="12" customHeight="1" x14ac:dyDescent="0.3">
      <c r="A107" s="371" t="s">
        <v>424</v>
      </c>
      <c r="B107" s="89" t="s">
        <v>516</v>
      </c>
      <c r="C107" s="181"/>
    </row>
    <row r="108" spans="1:7" ht="12" customHeight="1" x14ac:dyDescent="0.3">
      <c r="A108" s="371" t="s">
        <v>339</v>
      </c>
      <c r="B108" s="89" t="s">
        <v>218</v>
      </c>
      <c r="C108" s="181"/>
    </row>
    <row r="109" spans="1:7" ht="12" customHeight="1" x14ac:dyDescent="0.3">
      <c r="A109" s="371" t="s">
        <v>340</v>
      </c>
      <c r="B109" s="89" t="s">
        <v>219</v>
      </c>
      <c r="C109" s="181"/>
    </row>
    <row r="110" spans="1:7" ht="12" customHeight="1" x14ac:dyDescent="0.3">
      <c r="A110" s="371" t="s">
        <v>341</v>
      </c>
      <c r="B110" s="89" t="s">
        <v>220</v>
      </c>
      <c r="C110" s="181"/>
    </row>
    <row r="111" spans="1:7" ht="12" customHeight="1" x14ac:dyDescent="0.3">
      <c r="A111" s="371" t="s">
        <v>431</v>
      </c>
      <c r="B111" s="89" t="s">
        <v>221</v>
      </c>
      <c r="C111" s="181">
        <v>17445581</v>
      </c>
    </row>
    <row r="112" spans="1:7" ht="12" customHeight="1" x14ac:dyDescent="0.3">
      <c r="A112" s="371" t="s">
        <v>432</v>
      </c>
      <c r="B112" s="89" t="s">
        <v>222</v>
      </c>
      <c r="C112" s="181"/>
    </row>
    <row r="113" spans="1:3" ht="12" customHeight="1" x14ac:dyDescent="0.3">
      <c r="A113" s="371" t="s">
        <v>447</v>
      </c>
      <c r="B113" s="89" t="s">
        <v>223</v>
      </c>
      <c r="C113" s="181"/>
    </row>
    <row r="114" spans="1:3" ht="12" customHeight="1" x14ac:dyDescent="0.3">
      <c r="A114" s="371" t="s">
        <v>433</v>
      </c>
      <c r="B114" s="89" t="s">
        <v>224</v>
      </c>
      <c r="C114" s="181"/>
    </row>
    <row r="115" spans="1:3" ht="12" customHeight="1" x14ac:dyDescent="0.3">
      <c r="A115" s="371" t="s">
        <v>434</v>
      </c>
      <c r="B115" s="89" t="s">
        <v>225</v>
      </c>
      <c r="C115" s="181"/>
    </row>
    <row r="116" spans="1:3" ht="12" customHeight="1" x14ac:dyDescent="0.3">
      <c r="A116" s="371" t="s">
        <v>435</v>
      </c>
      <c r="B116" s="89" t="s">
        <v>226</v>
      </c>
      <c r="C116" s="181">
        <v>1761350</v>
      </c>
    </row>
    <row r="117" spans="1:3" ht="12" customHeight="1" x14ac:dyDescent="0.3">
      <c r="A117" s="371" t="s">
        <v>436</v>
      </c>
      <c r="B117" s="89" t="s">
        <v>517</v>
      </c>
      <c r="C117" s="179">
        <f>SUM(C118:C119)</f>
        <v>504494</v>
      </c>
    </row>
    <row r="118" spans="1:3" ht="12" customHeight="1" x14ac:dyDescent="0.3">
      <c r="A118" s="371" t="s">
        <v>437</v>
      </c>
      <c r="B118" s="334" t="s">
        <v>519</v>
      </c>
      <c r="C118" s="179">
        <v>504494</v>
      </c>
    </row>
    <row r="119" spans="1:3" ht="12" customHeight="1" thickBot="1" x14ac:dyDescent="0.35">
      <c r="A119" s="372" t="s">
        <v>438</v>
      </c>
      <c r="B119" s="383" t="s">
        <v>530</v>
      </c>
      <c r="C119" s="185"/>
    </row>
    <row r="120" spans="1:3" ht="12" customHeight="1" thickBot="1" x14ac:dyDescent="0.35">
      <c r="A120" s="376" t="s">
        <v>448</v>
      </c>
      <c r="B120" s="244" t="s">
        <v>520</v>
      </c>
      <c r="C120" s="245">
        <v>124715931</v>
      </c>
    </row>
    <row r="121" spans="1:3" ht="12" customHeight="1" x14ac:dyDescent="0.3">
      <c r="A121" s="371">
        <v>23</v>
      </c>
      <c r="B121" s="331" t="s">
        <v>157</v>
      </c>
      <c r="C121" s="180">
        <v>124715931</v>
      </c>
    </row>
    <row r="122" spans="1:3" ht="12" customHeight="1" x14ac:dyDescent="0.3">
      <c r="A122" s="371" t="s">
        <v>440</v>
      </c>
      <c r="B122" s="333" t="s">
        <v>528</v>
      </c>
      <c r="C122" s="180">
        <v>123204931</v>
      </c>
    </row>
    <row r="123" spans="1:3" ht="12" customHeight="1" x14ac:dyDescent="0.3">
      <c r="A123" s="371" t="s">
        <v>441</v>
      </c>
      <c r="B123" s="333" t="s">
        <v>126</v>
      </c>
      <c r="C123" s="179"/>
    </row>
    <row r="124" spans="1:3" ht="12" customHeight="1" x14ac:dyDescent="0.3">
      <c r="A124" s="371" t="s">
        <v>442</v>
      </c>
      <c r="B124" s="333" t="s">
        <v>505</v>
      </c>
      <c r="C124" s="154"/>
    </row>
    <row r="125" spans="1:3" ht="12" customHeight="1" x14ac:dyDescent="0.3">
      <c r="A125" s="371" t="s">
        <v>443</v>
      </c>
      <c r="B125" s="280" t="s">
        <v>310</v>
      </c>
      <c r="C125" s="154"/>
    </row>
    <row r="126" spans="1:3" ht="12" customHeight="1" x14ac:dyDescent="0.3">
      <c r="A126" s="371" t="s">
        <v>444</v>
      </c>
      <c r="B126" s="326" t="s">
        <v>531</v>
      </c>
      <c r="C126" s="154"/>
    </row>
    <row r="127" spans="1:3" x14ac:dyDescent="0.3">
      <c r="A127" s="371" t="s">
        <v>445</v>
      </c>
      <c r="B127" s="423" t="s">
        <v>231</v>
      </c>
      <c r="C127" s="154"/>
    </row>
    <row r="128" spans="1:3" ht="12" customHeight="1" x14ac:dyDescent="0.3">
      <c r="A128" s="371" t="s">
        <v>449</v>
      </c>
      <c r="B128" s="424" t="s">
        <v>220</v>
      </c>
      <c r="C128" s="154"/>
    </row>
    <row r="129" spans="1:3" ht="12" customHeight="1" x14ac:dyDescent="0.3">
      <c r="A129" s="371" t="s">
        <v>502</v>
      </c>
      <c r="B129" s="424" t="s">
        <v>230</v>
      </c>
      <c r="C129" s="154"/>
    </row>
    <row r="130" spans="1:3" ht="12" customHeight="1" x14ac:dyDescent="0.3">
      <c r="A130" s="371" t="s">
        <v>450</v>
      </c>
      <c r="B130" s="424" t="s">
        <v>229</v>
      </c>
      <c r="C130" s="154"/>
    </row>
    <row r="131" spans="1:3" ht="12" customHeight="1" x14ac:dyDescent="0.3">
      <c r="A131" s="371" t="s">
        <v>451</v>
      </c>
      <c r="B131" s="424" t="s">
        <v>223</v>
      </c>
      <c r="C131" s="154"/>
    </row>
    <row r="132" spans="1:3" x14ac:dyDescent="0.3">
      <c r="A132" s="371" t="s">
        <v>452</v>
      </c>
      <c r="B132" s="424" t="s">
        <v>228</v>
      </c>
      <c r="C132" s="154"/>
    </row>
    <row r="133" spans="1:3" ht="12" customHeight="1" thickBot="1" x14ac:dyDescent="0.35">
      <c r="A133" s="371">
        <v>35</v>
      </c>
      <c r="B133" s="424" t="s">
        <v>227</v>
      </c>
      <c r="C133" s="155"/>
    </row>
    <row r="134" spans="1:3" ht="12" customHeight="1" thickBot="1" x14ac:dyDescent="0.35">
      <c r="A134" s="376">
        <v>36</v>
      </c>
      <c r="B134" s="81" t="s">
        <v>503</v>
      </c>
      <c r="C134" s="177">
        <f>SUM(C99,C120)</f>
        <v>219864513</v>
      </c>
    </row>
    <row r="135" spans="1:3" ht="12" customHeight="1" thickBot="1" x14ac:dyDescent="0.35">
      <c r="A135" s="376">
        <v>37</v>
      </c>
      <c r="B135" s="81" t="s">
        <v>521</v>
      </c>
      <c r="C135" s="177">
        <v>0</v>
      </c>
    </row>
    <row r="136" spans="1:3" ht="12" customHeight="1" x14ac:dyDescent="0.3">
      <c r="A136" s="371">
        <v>38</v>
      </c>
      <c r="B136" s="333" t="s">
        <v>269</v>
      </c>
      <c r="C136" s="154"/>
    </row>
    <row r="137" spans="1:3" ht="12" customHeight="1" x14ac:dyDescent="0.3">
      <c r="A137" s="371" t="s">
        <v>457</v>
      </c>
      <c r="B137" s="333" t="s">
        <v>270</v>
      </c>
      <c r="C137" s="154"/>
    </row>
    <row r="138" spans="1:3" ht="12" customHeight="1" thickBot="1" x14ac:dyDescent="0.35">
      <c r="A138" s="371" t="s">
        <v>458</v>
      </c>
      <c r="B138" s="333" t="s">
        <v>271</v>
      </c>
      <c r="C138" s="154"/>
    </row>
    <row r="139" spans="1:3" ht="12" customHeight="1" thickBot="1" x14ac:dyDescent="0.35">
      <c r="A139" s="376">
        <v>41</v>
      </c>
      <c r="B139" s="81" t="s">
        <v>522</v>
      </c>
      <c r="C139" s="177">
        <v>0</v>
      </c>
    </row>
    <row r="140" spans="1:3" ht="12" customHeight="1" x14ac:dyDescent="0.3">
      <c r="A140" s="371">
        <v>42</v>
      </c>
      <c r="B140" s="334" t="s">
        <v>272</v>
      </c>
      <c r="C140" s="154"/>
    </row>
    <row r="141" spans="1:3" ht="12" customHeight="1" x14ac:dyDescent="0.3">
      <c r="A141" s="371">
        <v>43</v>
      </c>
      <c r="B141" s="334" t="s">
        <v>264</v>
      </c>
      <c r="C141" s="154"/>
    </row>
    <row r="142" spans="1:3" ht="12" customHeight="1" x14ac:dyDescent="0.3">
      <c r="A142" s="371" t="s">
        <v>461</v>
      </c>
      <c r="B142" s="334" t="s">
        <v>265</v>
      </c>
      <c r="C142" s="154"/>
    </row>
    <row r="143" spans="1:3" ht="12" customHeight="1" x14ac:dyDescent="0.3">
      <c r="A143" s="371" t="s">
        <v>462</v>
      </c>
      <c r="B143" s="334" t="s">
        <v>266</v>
      </c>
      <c r="C143" s="154"/>
    </row>
    <row r="144" spans="1:3" ht="12" customHeight="1" x14ac:dyDescent="0.3">
      <c r="A144" s="371" t="s">
        <v>463</v>
      </c>
      <c r="B144" s="335" t="s">
        <v>267</v>
      </c>
      <c r="C144" s="155"/>
    </row>
    <row r="145" spans="1:9" ht="12" customHeight="1" thickBot="1" x14ac:dyDescent="0.35">
      <c r="A145" s="473">
        <v>47</v>
      </c>
      <c r="B145" s="383" t="s">
        <v>268</v>
      </c>
      <c r="C145" s="247"/>
    </row>
    <row r="146" spans="1:9" ht="12" customHeight="1" thickBot="1" x14ac:dyDescent="0.35">
      <c r="A146" s="376">
        <v>48</v>
      </c>
      <c r="B146" s="81" t="s">
        <v>523</v>
      </c>
      <c r="C146" s="183">
        <v>795305</v>
      </c>
    </row>
    <row r="147" spans="1:9" ht="12" customHeight="1" x14ac:dyDescent="0.3">
      <c r="A147" s="371">
        <v>49</v>
      </c>
      <c r="B147" s="334" t="s">
        <v>232</v>
      </c>
      <c r="C147" s="154"/>
    </row>
    <row r="148" spans="1:9" ht="12" customHeight="1" x14ac:dyDescent="0.3">
      <c r="A148" s="371" t="s">
        <v>466</v>
      </c>
      <c r="B148" s="334" t="s">
        <v>233</v>
      </c>
      <c r="C148" s="154">
        <v>795305</v>
      </c>
    </row>
    <row r="149" spans="1:9" ht="12" customHeight="1" x14ac:dyDescent="0.3">
      <c r="A149" s="371" t="s">
        <v>467</v>
      </c>
      <c r="B149" s="335" t="s">
        <v>275</v>
      </c>
      <c r="C149" s="155"/>
    </row>
    <row r="150" spans="1:9" ht="12" customHeight="1" thickBot="1" x14ac:dyDescent="0.35">
      <c r="A150" s="372">
        <v>52</v>
      </c>
      <c r="B150" s="383" t="s">
        <v>246</v>
      </c>
      <c r="C150" s="247"/>
    </row>
    <row r="151" spans="1:9" ht="12" customHeight="1" thickBot="1" x14ac:dyDescent="0.35">
      <c r="A151" s="376">
        <v>53</v>
      </c>
      <c r="B151" s="81" t="s">
        <v>524</v>
      </c>
      <c r="C151" s="186">
        <v>0</v>
      </c>
    </row>
    <row r="152" spans="1:9" ht="12" customHeight="1" x14ac:dyDescent="0.3">
      <c r="A152" s="371">
        <v>54</v>
      </c>
      <c r="B152" s="334" t="s">
        <v>273</v>
      </c>
      <c r="C152" s="154"/>
    </row>
    <row r="153" spans="1:9" ht="12" customHeight="1" x14ac:dyDescent="0.3">
      <c r="A153" s="371">
        <v>55</v>
      </c>
      <c r="B153" s="334" t="s">
        <v>276</v>
      </c>
      <c r="C153" s="154"/>
    </row>
    <row r="154" spans="1:9" ht="12" customHeight="1" x14ac:dyDescent="0.3">
      <c r="A154" s="371" t="s">
        <v>471</v>
      </c>
      <c r="B154" s="334" t="s">
        <v>274</v>
      </c>
      <c r="C154" s="154"/>
    </row>
    <row r="155" spans="1:9" ht="12" customHeight="1" x14ac:dyDescent="0.3">
      <c r="A155" s="371" t="s">
        <v>472</v>
      </c>
      <c r="B155" s="334" t="s">
        <v>294</v>
      </c>
      <c r="C155" s="154"/>
    </row>
    <row r="156" spans="1:9" ht="12" customHeight="1" thickBot="1" x14ac:dyDescent="0.35">
      <c r="A156" s="371" t="s">
        <v>473</v>
      </c>
      <c r="B156" s="334" t="s">
        <v>277</v>
      </c>
      <c r="C156" s="154"/>
    </row>
    <row r="157" spans="1:9" ht="12" customHeight="1" thickBot="1" x14ac:dyDescent="0.35">
      <c r="A157" s="376">
        <v>59</v>
      </c>
      <c r="B157" s="81" t="s">
        <v>278</v>
      </c>
      <c r="C157" s="246"/>
    </row>
    <row r="158" spans="1:9" ht="15.15" customHeight="1" thickBot="1" x14ac:dyDescent="0.35">
      <c r="A158" s="376">
        <v>60</v>
      </c>
      <c r="B158" s="81" t="s">
        <v>279</v>
      </c>
      <c r="C158" s="246"/>
      <c r="F158" s="17"/>
      <c r="G158" s="76"/>
      <c r="H158" s="76"/>
      <c r="I158" s="76"/>
    </row>
    <row r="159" spans="1:9" s="1" customFormat="1" ht="17.25" customHeight="1" thickBot="1" x14ac:dyDescent="0.35">
      <c r="A159" s="376">
        <v>61</v>
      </c>
      <c r="B159" s="81" t="s">
        <v>504</v>
      </c>
      <c r="C159" s="287">
        <f>+C135+C139+C146+C151+C157+C158</f>
        <v>795305</v>
      </c>
      <c r="E159" s="15"/>
    </row>
    <row r="160" spans="1:9" ht="18" customHeight="1" thickBot="1" x14ac:dyDescent="0.35">
      <c r="A160" s="376">
        <v>62</v>
      </c>
      <c r="B160" s="405" t="s">
        <v>525</v>
      </c>
      <c r="C160" s="287">
        <f>+C134+C159</f>
        <v>220659818</v>
      </c>
      <c r="D160" s="15">
        <v>220945818</v>
      </c>
      <c r="E160" s="521">
        <f>D160-C160</f>
        <v>286000</v>
      </c>
    </row>
    <row r="161" spans="1:3" x14ac:dyDescent="0.3">
      <c r="A161" s="418"/>
      <c r="B161" s="413"/>
      <c r="C161" s="305">
        <f>C93-C160</f>
        <v>0</v>
      </c>
    </row>
    <row r="162" spans="1:3" ht="15.15" customHeight="1" x14ac:dyDescent="0.3">
      <c r="A162" s="673" t="s">
        <v>234</v>
      </c>
      <c r="B162" s="673"/>
      <c r="C162" s="673"/>
    </row>
    <row r="163" spans="1:3" ht="13.5" customHeight="1" thickBot="1" x14ac:dyDescent="0.35">
      <c r="A163" s="672"/>
      <c r="B163" s="672"/>
      <c r="C163" s="421" t="str">
        <f>C96</f>
        <v>Forintban!</v>
      </c>
    </row>
    <row r="164" spans="1:3" ht="27.75" customHeight="1" thickBot="1" x14ac:dyDescent="0.35">
      <c r="A164" s="374">
        <v>1</v>
      </c>
      <c r="B164" s="8" t="s">
        <v>506</v>
      </c>
      <c r="C164" s="177">
        <f>+C68-C134</f>
        <v>-28233881</v>
      </c>
    </row>
    <row r="165" spans="1:3" ht="21" thickBot="1" x14ac:dyDescent="0.35">
      <c r="A165" s="374">
        <v>2</v>
      </c>
      <c r="B165" s="8" t="s">
        <v>559</v>
      </c>
      <c r="C165" s="177">
        <f>C92-C159</f>
        <v>28233881</v>
      </c>
    </row>
  </sheetData>
  <mergeCells count="10">
    <mergeCell ref="A163:B163"/>
    <mergeCell ref="A95:C95"/>
    <mergeCell ref="A2:C2"/>
    <mergeCell ref="A3:C3"/>
    <mergeCell ref="A4:C4"/>
    <mergeCell ref="B1:C1"/>
    <mergeCell ref="A6:C6"/>
    <mergeCell ref="A7:B7"/>
    <mergeCell ref="A96:B96"/>
    <mergeCell ref="A162:C162"/>
  </mergeCells>
  <phoneticPr fontId="0" type="noConversion"/>
  <printOptions horizontalCentered="1"/>
  <pageMargins left="0.25" right="0.25" top="0.75" bottom="0.75" header="0.3" footer="0.3"/>
  <pageSetup paperSize="9" scale="74" fitToHeight="2" orientation="portrait" r:id="rId1"/>
  <headerFooter alignWithMargins="0"/>
  <rowBreaks count="2" manualBreakCount="2">
    <brk id="68" max="2" man="1"/>
    <brk id="145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7">
    <tabColor rgb="FF92D050"/>
  </sheetPr>
  <dimension ref="A1:L165"/>
  <sheetViews>
    <sheetView topLeftCell="A2" zoomScaleNormal="100" zoomScaleSheetLayoutView="100" workbookViewId="0">
      <selection activeCell="A6" sqref="A6:C165"/>
    </sheetView>
  </sheetViews>
  <sheetFormatPr defaultColWidth="9.33203125" defaultRowHeight="15.6" x14ac:dyDescent="0.3"/>
  <cols>
    <col min="1" max="1" width="9.44140625" style="15" customWidth="1"/>
    <col min="2" max="2" width="99.33203125" style="15" customWidth="1"/>
    <col min="3" max="3" width="21.6640625" style="219" customWidth="1"/>
    <col min="4" max="4" width="9" style="15" customWidth="1"/>
    <col min="5" max="16384" width="9.33203125" style="15"/>
  </cols>
  <sheetData>
    <row r="1" spans="1:3" ht="18.75" hidden="1" customHeight="1" x14ac:dyDescent="0.3">
      <c r="A1" s="302"/>
      <c r="B1" s="668" t="str">
        <f>CONCATENATE("2. melléklet ",ALAPADATOK!A7," ",ALAPADATOK!B7," ",ALAPADATOK!C7," ",ALAPADATOK!D7," ",ALAPADATOK!E7," ",ALAPADATOK!F7," ",ALAPADATOK!G7," ",ALAPADATOK!H7)</f>
        <v>2. melléklet a … / 2025. ( … ) önkormányzati rendelethez</v>
      </c>
      <c r="C1" s="669"/>
    </row>
    <row r="2" spans="1:3" ht="21.9" customHeight="1" x14ac:dyDescent="0.3">
      <c r="A2" s="675" t="str">
        <f>CONCATENATE(ALAPADATOK!A3)</f>
        <v>Alsónyék Község Önkormányzata</v>
      </c>
      <c r="B2" s="676"/>
      <c r="C2" s="676"/>
    </row>
    <row r="3" spans="1:3" ht="21.9" customHeight="1" x14ac:dyDescent="0.3">
      <c r="A3" s="675" t="str">
        <f>'KV_1.1.sz.mell.'!A3</f>
        <v>2025. ÉVI KÖLTSÉGVETÉS</v>
      </c>
      <c r="B3" s="676"/>
      <c r="C3" s="676"/>
    </row>
    <row r="4" spans="1:3" ht="21.9" customHeight="1" x14ac:dyDescent="0.3">
      <c r="A4" s="675" t="s">
        <v>312</v>
      </c>
      <c r="B4" s="676"/>
      <c r="C4" s="676"/>
    </row>
    <row r="5" spans="1:3" ht="21.9" customHeight="1" x14ac:dyDescent="0.3">
      <c r="A5" s="411"/>
      <c r="B5" s="411"/>
      <c r="C5" s="412"/>
    </row>
    <row r="6" spans="1:3" ht="15.15" customHeight="1" x14ac:dyDescent="0.3">
      <c r="A6" s="670" t="str">
        <f>'KV_1.1.sz.mell.'!A6</f>
        <v>B E V É T E L E K</v>
      </c>
      <c r="B6" s="670"/>
      <c r="C6" s="670"/>
    </row>
    <row r="7" spans="1:3" ht="15.15" customHeight="1" thickBot="1" x14ac:dyDescent="0.35">
      <c r="A7" s="671"/>
      <c r="B7" s="671"/>
      <c r="C7" s="419" t="str">
        <f>'KV_1.1.sz.mell.'!C7</f>
        <v>Forintban!</v>
      </c>
    </row>
    <row r="8" spans="1:3" ht="24" customHeight="1" thickBot="1" x14ac:dyDescent="0.35">
      <c r="A8" s="513" t="str">
        <f>'KV_1.1.sz.mell.'!A8</f>
        <v>Sor-
szám</v>
      </c>
      <c r="B8" s="304" t="str">
        <f>'KV_1.1.sz.mell.'!B8</f>
        <v>Bevételi jogcím</v>
      </c>
      <c r="C8" s="420" t="str">
        <f>'KV_1.1.sz.mell.'!C8</f>
        <v>2025. évi előirányzat</v>
      </c>
    </row>
    <row r="9" spans="1:3" s="16" customFormat="1" ht="12" customHeight="1" thickBot="1" x14ac:dyDescent="0.25">
      <c r="A9" s="415"/>
      <c r="B9" s="284" t="str">
        <f>'KV_1.1.sz.mell.'!B9</f>
        <v>A</v>
      </c>
      <c r="C9" s="285" t="str">
        <f>'KV_1.1.sz.mell.'!C9</f>
        <v>B</v>
      </c>
    </row>
    <row r="10" spans="1:3" s="1" customFormat="1" ht="12" customHeight="1" thickBot="1" x14ac:dyDescent="0.3">
      <c r="A10" s="374">
        <f>'KV_1.1.sz.mell.'!A10</f>
        <v>1</v>
      </c>
      <c r="B10" s="324" t="str">
        <f>'KV_1.1.sz.mell.'!B10</f>
        <v>Működési célú támogatások államháztartáson belülről (10+…+11+…+14)</v>
      </c>
      <c r="C10" s="177">
        <f>C19+C20+C21+C22+C23</f>
        <v>28302912</v>
      </c>
    </row>
    <row r="11" spans="1:3" s="1" customFormat="1" ht="12" customHeight="1" x14ac:dyDescent="0.25">
      <c r="A11" s="371" t="str">
        <f>'KV_1.1.sz.mell.'!A11</f>
        <v>2</v>
      </c>
      <c r="B11" s="325" t="str">
        <f>'KV_1.1.sz.mell.'!B11</f>
        <v>Helyi önkormányzatok működésének általános támogatása</v>
      </c>
      <c r="C11" s="180">
        <v>14380414</v>
      </c>
    </row>
    <row r="12" spans="1:3" s="1" customFormat="1" ht="12" customHeight="1" x14ac:dyDescent="0.25">
      <c r="A12" s="371" t="str">
        <f>'KV_1.1.sz.mell.'!A12</f>
        <v>3</v>
      </c>
      <c r="B12" s="325" t="str">
        <f>'KV_1.1.sz.mell.'!B12</f>
        <v>Önkormányzatok egyes köznevelési feladatainak támogatása</v>
      </c>
      <c r="C12" s="180"/>
    </row>
    <row r="13" spans="1:3" s="1" customFormat="1" ht="12" customHeight="1" x14ac:dyDescent="0.25">
      <c r="A13" s="371" t="str">
        <f>'KV_1.1.sz.mell.'!A13</f>
        <v>4</v>
      </c>
      <c r="B13" s="325" t="str">
        <f>'KV_1.1.sz.mell.'!B13</f>
        <v>Önkormányzatok szociális és gyermekjóléti feladatainak támogatása</v>
      </c>
      <c r="C13" s="180">
        <v>6786100</v>
      </c>
    </row>
    <row r="14" spans="1:3" s="1" customFormat="1" ht="12" customHeight="1" x14ac:dyDescent="0.25">
      <c r="A14" s="371" t="str">
        <f>'KV_1.1.sz.mell.'!A14</f>
        <v>5</v>
      </c>
      <c r="B14" s="325" t="str">
        <f>'KV_1.1.sz.mell.'!B14</f>
        <v>Önkormányzatok gyermekétkeztetési feladatainak támogatása</v>
      </c>
      <c r="C14" s="180">
        <v>222015</v>
      </c>
    </row>
    <row r="15" spans="1:3" s="1" customFormat="1" ht="12" customHeight="1" x14ac:dyDescent="0.25">
      <c r="A15" s="371" t="str">
        <f>'KV_1.1.sz.mell.'!A15</f>
        <v>6</v>
      </c>
      <c r="B15" s="325" t="str">
        <f>'KV_1.1.sz.mell.'!B15</f>
        <v>Önkormányzatok kulturális feladatainak támogatása</v>
      </c>
      <c r="C15" s="180">
        <v>3012876</v>
      </c>
    </row>
    <row r="16" spans="1:3" s="1" customFormat="1" ht="12" customHeight="1" x14ac:dyDescent="0.25">
      <c r="A16" s="371" t="str">
        <f>'KV_1.1.sz.mell.'!A16</f>
        <v>7</v>
      </c>
      <c r="B16" s="325" t="str">
        <f>'KV_1.1.sz.mell.'!B16</f>
        <v xml:space="preserve">Működési célú kvi támogatások és kiegészítő támogatások </v>
      </c>
      <c r="C16" s="180"/>
    </row>
    <row r="17" spans="1:3" s="1" customFormat="1" ht="12" customHeight="1" x14ac:dyDescent="0.25">
      <c r="A17" s="371" t="str">
        <f>'KV_1.1.sz.mell.'!A17</f>
        <v>8</v>
      </c>
      <c r="B17" s="325" t="str">
        <f>'KV_1.1.sz.mell.'!B17</f>
        <v>Elszámolásból származó bevételek</v>
      </c>
      <c r="C17" s="180"/>
    </row>
    <row r="18" spans="1:3" s="1" customFormat="1" ht="12" customHeight="1" x14ac:dyDescent="0.25">
      <c r="A18" s="371" t="str">
        <f>'KV_1.1.sz.mell.'!A18</f>
        <v>9</v>
      </c>
      <c r="B18" s="325" t="str">
        <f>'KV_1.1.sz.mell.'!B18</f>
        <v>Elvonások és befizetések bevételei</v>
      </c>
      <c r="C18" s="514"/>
    </row>
    <row r="19" spans="1:3" s="1" customFormat="1" ht="12" customHeight="1" x14ac:dyDescent="0.25">
      <c r="A19" s="371" t="str">
        <f>'KV_1.1.sz.mell.'!A19</f>
        <v>10</v>
      </c>
      <c r="B19" s="325" t="str">
        <f>'KV_1.1.sz.mell.'!B19</f>
        <v>Önkormányzat működési támogatásai (2+…+.9)</v>
      </c>
      <c r="C19" s="386">
        <f>SUM(C11:C18)</f>
        <v>24401405</v>
      </c>
    </row>
    <row r="20" spans="1:3" s="1" customFormat="1" ht="12" customHeight="1" x14ac:dyDescent="0.25">
      <c r="A20" s="371" t="str">
        <f>'KV_1.1.sz.mell.'!A20</f>
        <v>11</v>
      </c>
      <c r="B20" s="325" t="str">
        <f>'KV_1.1.sz.mell.'!B20</f>
        <v xml:space="preserve">Működési célú garancia- és kezességvállalásból megtérülések </v>
      </c>
      <c r="C20" s="180"/>
    </row>
    <row r="21" spans="1:3" s="1" customFormat="1" ht="12" customHeight="1" x14ac:dyDescent="0.25">
      <c r="A21" s="371" t="str">
        <f>'KV_1.1.sz.mell.'!A21</f>
        <v>12</v>
      </c>
      <c r="B21" s="325" t="str">
        <f>'KV_1.1.sz.mell.'!B21</f>
        <v xml:space="preserve">Működési célú visszatérítendő támogatások, kölcsönök visszatérülése </v>
      </c>
      <c r="C21" s="180"/>
    </row>
    <row r="22" spans="1:3" s="1" customFormat="1" ht="12" customHeight="1" x14ac:dyDescent="0.25">
      <c r="A22" s="371" t="str">
        <f>'KV_1.1.sz.mell.'!A22</f>
        <v>13</v>
      </c>
      <c r="B22" s="325" t="str">
        <f>'KV_1.1.sz.mell.'!B22</f>
        <v>Működési célú visszatérítendő támogatások, kölcsönök igénybevétele</v>
      </c>
      <c r="C22" s="180"/>
    </row>
    <row r="23" spans="1:3" s="1" customFormat="1" ht="12" customHeight="1" x14ac:dyDescent="0.25">
      <c r="A23" s="371" t="str">
        <f>'KV_1.1.sz.mell.'!A23</f>
        <v>14</v>
      </c>
      <c r="B23" s="325" t="str">
        <f>'KV_1.1.sz.mell.'!B23</f>
        <v xml:space="preserve">Egyéb működési célú támogatások bevételei </v>
      </c>
      <c r="C23" s="180">
        <v>3901507</v>
      </c>
    </row>
    <row r="24" spans="1:3" s="1" customFormat="1" ht="12" customHeight="1" thickBot="1" x14ac:dyDescent="0.3">
      <c r="A24" s="371" t="str">
        <f>'KV_1.1.sz.mell.'!A24</f>
        <v>15</v>
      </c>
      <c r="B24" s="325" t="str">
        <f>'KV_1.1.sz.mell.'!B24</f>
        <v>14-ből EU-s támogatás</v>
      </c>
      <c r="C24" s="180"/>
    </row>
    <row r="25" spans="1:3" s="1" customFormat="1" ht="12" customHeight="1" thickBot="1" x14ac:dyDescent="0.3">
      <c r="A25" s="374">
        <f>'KV_1.1.sz.mell.'!A25</f>
        <v>16</v>
      </c>
      <c r="B25" s="324" t="str">
        <f>'KV_1.1.sz.mell.'!B25</f>
        <v>Felhalmozási célú támogatások államháztartáson belülről (17+…+21)</v>
      </c>
      <c r="C25" s="177">
        <f>+C26+C27+C28+C29+C30</f>
        <v>0</v>
      </c>
    </row>
    <row r="26" spans="1:3" s="1" customFormat="1" ht="12" customHeight="1" x14ac:dyDescent="0.25">
      <c r="A26" s="371" t="str">
        <f>'KV_1.1.sz.mell.'!A26</f>
        <v>17</v>
      </c>
      <c r="B26" s="325" t="str">
        <f>'KV_1.1.sz.mell.'!B26</f>
        <v>Felhalmozási célú önkormányzati támogatások</v>
      </c>
      <c r="C26" s="180"/>
    </row>
    <row r="27" spans="1:3" s="1" customFormat="1" ht="12" customHeight="1" x14ac:dyDescent="0.25">
      <c r="A27" s="371" t="str">
        <f>'KV_1.1.sz.mell.'!A27</f>
        <v>18</v>
      </c>
      <c r="B27" s="325" t="str">
        <f>'KV_1.1.sz.mell.'!B27</f>
        <v>Felhalmozási célú garancia- és kezességvállalásból megtérülések</v>
      </c>
      <c r="C27" s="179"/>
    </row>
    <row r="28" spans="1:3" s="1" customFormat="1" ht="12" customHeight="1" x14ac:dyDescent="0.25">
      <c r="A28" s="371" t="str">
        <f>'KV_1.1.sz.mell.'!A28</f>
        <v>19</v>
      </c>
      <c r="B28" s="325" t="str">
        <f>'KV_1.1.sz.mell.'!B28</f>
        <v>Felhalmozási célú visszatérítendő támogatások, kölcsönök visszatérülése</v>
      </c>
      <c r="C28" s="179"/>
    </row>
    <row r="29" spans="1:3" s="1" customFormat="1" ht="12" customHeight="1" x14ac:dyDescent="0.25">
      <c r="A29" s="371" t="str">
        <f>'KV_1.1.sz.mell.'!A29</f>
        <v>20</v>
      </c>
      <c r="B29" s="325" t="str">
        <f>'KV_1.1.sz.mell.'!B29</f>
        <v>Felhalmozási célú visszatérítendő támogatások, kölcsönök igénybevétele</v>
      </c>
      <c r="C29" s="179"/>
    </row>
    <row r="30" spans="1:3" s="1" customFormat="1" ht="12" customHeight="1" x14ac:dyDescent="0.25">
      <c r="A30" s="371" t="str">
        <f>'KV_1.1.sz.mell.'!A30</f>
        <v>21</v>
      </c>
      <c r="B30" s="325" t="str">
        <f>'KV_1.1.sz.mell.'!B30</f>
        <v>Egyéb felhalmozási célú támogatások bevételei</v>
      </c>
      <c r="C30" s="179"/>
    </row>
    <row r="31" spans="1:3" s="281" customFormat="1" ht="12" customHeight="1" thickBot="1" x14ac:dyDescent="0.3">
      <c r="A31" s="371" t="str">
        <f>'KV_1.1.sz.mell.'!A31</f>
        <v>22</v>
      </c>
      <c r="B31" s="325" t="str">
        <f>'KV_1.1.sz.mell.'!B31</f>
        <v xml:space="preserve">   21-ből EU-s támogatás</v>
      </c>
      <c r="C31" s="179"/>
    </row>
    <row r="32" spans="1:3" s="1" customFormat="1" ht="12" customHeight="1" thickBot="1" x14ac:dyDescent="0.3">
      <c r="A32" s="374">
        <f>'KV_1.1.sz.mell.'!A32</f>
        <v>23</v>
      </c>
      <c r="B32" s="324" t="str">
        <f>'KV_1.1.sz.mell.'!B32</f>
        <v>Közhatalmi bevételek (24+…+30)</v>
      </c>
      <c r="C32" s="183">
        <f>SUM(C33:C39)</f>
        <v>0</v>
      </c>
    </row>
    <row r="33" spans="1:3" s="1" customFormat="1" ht="12" customHeight="1" x14ac:dyDescent="0.25">
      <c r="A33" s="371" t="str">
        <f>'KV_1.1.sz.mell.'!A33</f>
        <v>24</v>
      </c>
      <c r="B33" s="325" t="str">
        <f>'KV_1.1.sz.mell.'!B33</f>
        <v>Építményadó</v>
      </c>
      <c r="C33" s="180"/>
    </row>
    <row r="34" spans="1:3" s="1" customFormat="1" ht="12" customHeight="1" x14ac:dyDescent="0.25">
      <c r="A34" s="371" t="str">
        <f>'KV_1.1.sz.mell.'!A34</f>
        <v>25</v>
      </c>
      <c r="B34" s="325" t="s">
        <v>585</v>
      </c>
      <c r="C34" s="179"/>
    </row>
    <row r="35" spans="1:3" s="1" customFormat="1" ht="12" customHeight="1" x14ac:dyDescent="0.25">
      <c r="A35" s="371" t="str">
        <f>'KV_1.1.sz.mell.'!A35</f>
        <v>26</v>
      </c>
      <c r="B35" s="325" t="str">
        <f>'KV_1.1.sz.mell.'!B35</f>
        <v>Iparűzési adó</v>
      </c>
      <c r="C35" s="179"/>
    </row>
    <row r="36" spans="1:3" s="1" customFormat="1" ht="12" customHeight="1" x14ac:dyDescent="0.25">
      <c r="A36" s="371" t="str">
        <f>'KV_1.1.sz.mell.'!A36</f>
        <v>27</v>
      </c>
      <c r="B36" s="325" t="str">
        <f>'KV_1.1.sz.mell.'!B36</f>
        <v xml:space="preserve">Talajterhelési díj </v>
      </c>
      <c r="C36" s="179"/>
    </row>
    <row r="37" spans="1:3" s="1" customFormat="1" ht="12" customHeight="1" x14ac:dyDescent="0.25">
      <c r="A37" s="371" t="str">
        <f>'KV_1.1.sz.mell.'!A37</f>
        <v>28</v>
      </c>
      <c r="B37" s="325" t="str">
        <f>'KV_1.1.sz.mell.'!B37</f>
        <v>Gépjárműadó</v>
      </c>
      <c r="C37" s="179"/>
    </row>
    <row r="38" spans="1:3" s="1" customFormat="1" ht="12" customHeight="1" x14ac:dyDescent="0.25">
      <c r="A38" s="371" t="str">
        <f>'KV_1.1.sz.mell.'!A38</f>
        <v>29</v>
      </c>
      <c r="B38" s="325" t="str">
        <f>'KV_1.1.sz.mell.'!B38</f>
        <v>Telekadó</v>
      </c>
      <c r="C38" s="179"/>
    </row>
    <row r="39" spans="1:3" s="1" customFormat="1" ht="12" customHeight="1" thickBot="1" x14ac:dyDescent="0.3">
      <c r="A39" s="371" t="str">
        <f>'KV_1.1.sz.mell.'!A39</f>
        <v>30</v>
      </c>
      <c r="B39" s="325" t="s">
        <v>586</v>
      </c>
      <c r="C39" s="181"/>
    </row>
    <row r="40" spans="1:3" s="1" customFormat="1" ht="12" customHeight="1" thickBot="1" x14ac:dyDescent="0.3">
      <c r="A40" s="374">
        <f>'KV_1.1.sz.mell.'!A40</f>
        <v>31</v>
      </c>
      <c r="B40" s="324" t="str">
        <f>'KV_1.1.sz.mell.'!B40</f>
        <v>Működési bevételek (32+…+ 42)</v>
      </c>
      <c r="C40" s="177">
        <f>SUM(C41:C51)</f>
        <v>5626000</v>
      </c>
    </row>
    <row r="41" spans="1:3" s="1" customFormat="1" ht="12" customHeight="1" x14ac:dyDescent="0.25">
      <c r="A41" s="371" t="str">
        <f>'KV_1.1.sz.mell.'!A41</f>
        <v>32</v>
      </c>
      <c r="B41" s="325" t="str">
        <f>'KV_1.1.sz.mell.'!B41</f>
        <v>Készletértékesítés ellenértéke</v>
      </c>
      <c r="C41" s="180"/>
    </row>
    <row r="42" spans="1:3" s="1" customFormat="1" ht="12" customHeight="1" x14ac:dyDescent="0.25">
      <c r="A42" s="371" t="str">
        <f>'KV_1.1.sz.mell.'!A42</f>
        <v>33</v>
      </c>
      <c r="B42" s="325" t="str">
        <f>'KV_1.1.sz.mell.'!B42</f>
        <v>Szolgáltatások ellenértéke</v>
      </c>
      <c r="C42" s="179">
        <v>1000000</v>
      </c>
    </row>
    <row r="43" spans="1:3" s="1" customFormat="1" ht="12" customHeight="1" x14ac:dyDescent="0.25">
      <c r="A43" s="371" t="str">
        <f>'KV_1.1.sz.mell.'!A43</f>
        <v>34</v>
      </c>
      <c r="B43" s="325" t="str">
        <f>'KV_1.1.sz.mell.'!B43</f>
        <v>Közvetített szolgáltatások értéke</v>
      </c>
      <c r="C43" s="179">
        <v>20000</v>
      </c>
    </row>
    <row r="44" spans="1:3" s="1" customFormat="1" ht="12" customHeight="1" x14ac:dyDescent="0.25">
      <c r="A44" s="371" t="str">
        <f>'KV_1.1.sz.mell.'!A44</f>
        <v>35</v>
      </c>
      <c r="B44" s="325" t="str">
        <f>'KV_1.1.sz.mell.'!B44</f>
        <v>Tulajdonosi bevételek</v>
      </c>
      <c r="C44" s="179">
        <v>3000000</v>
      </c>
    </row>
    <row r="45" spans="1:3" s="1" customFormat="1" ht="12" customHeight="1" x14ac:dyDescent="0.25">
      <c r="A45" s="371" t="str">
        <f>'KV_1.1.sz.mell.'!A45</f>
        <v>36</v>
      </c>
      <c r="B45" s="325" t="str">
        <f>'KV_1.1.sz.mell.'!B45</f>
        <v>Ellátási díjak</v>
      </c>
      <c r="C45" s="179">
        <v>900000</v>
      </c>
    </row>
    <row r="46" spans="1:3" s="1" customFormat="1" ht="12" customHeight="1" x14ac:dyDescent="0.25">
      <c r="A46" s="371" t="str">
        <f>'KV_1.1.sz.mell.'!A46</f>
        <v>37</v>
      </c>
      <c r="B46" s="325" t="str">
        <f>'KV_1.1.sz.mell.'!B46</f>
        <v xml:space="preserve">Kiszámlázott általános forgalmi adó </v>
      </c>
      <c r="C46" s="179">
        <v>266000</v>
      </c>
    </row>
    <row r="47" spans="1:3" s="1" customFormat="1" ht="12" customHeight="1" x14ac:dyDescent="0.25">
      <c r="A47" s="371" t="str">
        <f>'KV_1.1.sz.mell.'!A47</f>
        <v>38</v>
      </c>
      <c r="B47" s="325" t="str">
        <f>'KV_1.1.sz.mell.'!B47</f>
        <v>Általános forgalmi adó visszatérítése</v>
      </c>
      <c r="C47" s="179">
        <v>440000</v>
      </c>
    </row>
    <row r="48" spans="1:3" s="1" customFormat="1" ht="12" customHeight="1" x14ac:dyDescent="0.25">
      <c r="A48" s="371" t="str">
        <f>'KV_1.1.sz.mell.'!A48</f>
        <v>39</v>
      </c>
      <c r="B48" s="325" t="str">
        <f>'KV_1.1.sz.mell.'!B48</f>
        <v>Kamatbevételek és más nyereségjellegű bevételek</v>
      </c>
      <c r="C48" s="179"/>
    </row>
    <row r="49" spans="1:3" s="1" customFormat="1" ht="12" customHeight="1" x14ac:dyDescent="0.25">
      <c r="A49" s="371" t="str">
        <f>'KV_1.1.sz.mell.'!A49</f>
        <v>40</v>
      </c>
      <c r="B49" s="325" t="str">
        <f>'KV_1.1.sz.mell.'!B49</f>
        <v>Egyéb pénzügyi műveletek bevételei</v>
      </c>
      <c r="C49" s="182"/>
    </row>
    <row r="50" spans="1:3" s="1" customFormat="1" ht="12" customHeight="1" x14ac:dyDescent="0.25">
      <c r="A50" s="371" t="str">
        <f>'KV_1.1.sz.mell.'!A50</f>
        <v>41</v>
      </c>
      <c r="B50" s="325" t="str">
        <f>'KV_1.1.sz.mell.'!B50</f>
        <v>Biztosító által fizetett kártérítés</v>
      </c>
      <c r="C50" s="222"/>
    </row>
    <row r="51" spans="1:3" s="1" customFormat="1" ht="12" customHeight="1" thickBot="1" x14ac:dyDescent="0.3">
      <c r="A51" s="371" t="str">
        <f>'KV_1.1.sz.mell.'!A51</f>
        <v>42</v>
      </c>
      <c r="B51" s="325" t="str">
        <f>'KV_1.1.sz.mell.'!B51</f>
        <v>Egyéb működési bevételek</v>
      </c>
      <c r="C51" s="222"/>
    </row>
    <row r="52" spans="1:3" s="1" customFormat="1" ht="12" customHeight="1" thickBot="1" x14ac:dyDescent="0.3">
      <c r="A52" s="374">
        <f>'KV_1.1.sz.mell.'!A52</f>
        <v>43</v>
      </c>
      <c r="B52" s="324" t="str">
        <f>'KV_1.1.sz.mell.'!B52</f>
        <v>Felhalmozási bevételek (44+…+48)</v>
      </c>
      <c r="C52" s="177">
        <f>SUM(C53:C57)</f>
        <v>0</v>
      </c>
    </row>
    <row r="53" spans="1:3" s="1" customFormat="1" ht="12" customHeight="1" x14ac:dyDescent="0.25">
      <c r="A53" s="371" t="str">
        <f>'KV_1.1.sz.mell.'!A53</f>
        <v>44</v>
      </c>
      <c r="B53" s="325" t="str">
        <f>'KV_1.1.sz.mell.'!B53</f>
        <v>Immateriális javak értékesítése</v>
      </c>
      <c r="C53" s="228"/>
    </row>
    <row r="54" spans="1:3" s="1" customFormat="1" ht="12" customHeight="1" x14ac:dyDescent="0.25">
      <c r="A54" s="371" t="str">
        <f>'KV_1.1.sz.mell.'!A54</f>
        <v>45</v>
      </c>
      <c r="B54" s="325" t="str">
        <f>'KV_1.1.sz.mell.'!B54</f>
        <v>Ingatlanok értékesítése</v>
      </c>
      <c r="C54" s="182"/>
    </row>
    <row r="55" spans="1:3" s="1" customFormat="1" ht="12" customHeight="1" x14ac:dyDescent="0.25">
      <c r="A55" s="371" t="str">
        <f>'KV_1.1.sz.mell.'!A55</f>
        <v>46</v>
      </c>
      <c r="B55" s="325" t="str">
        <f>'KV_1.1.sz.mell.'!B55</f>
        <v>Egyéb tárgyi eszközök értékesítése</v>
      </c>
      <c r="C55" s="182"/>
    </row>
    <row r="56" spans="1:3" s="1" customFormat="1" ht="12" customHeight="1" x14ac:dyDescent="0.25">
      <c r="A56" s="371" t="str">
        <f>'KV_1.1.sz.mell.'!A56</f>
        <v>47</v>
      </c>
      <c r="B56" s="325" t="str">
        <f>'KV_1.1.sz.mell.'!B56</f>
        <v>Részesedések értékesítése</v>
      </c>
      <c r="C56" s="182"/>
    </row>
    <row r="57" spans="1:3" s="1" customFormat="1" ht="12" customHeight="1" thickBot="1" x14ac:dyDescent="0.3">
      <c r="A57" s="371" t="str">
        <f>'KV_1.1.sz.mell.'!A57</f>
        <v>48</v>
      </c>
      <c r="B57" s="325" t="str">
        <f>'KV_1.1.sz.mell.'!B57</f>
        <v>Részesedések megszűnéséhez kapcsolódó bevételek</v>
      </c>
      <c r="C57" s="222"/>
    </row>
    <row r="58" spans="1:3" s="1" customFormat="1" ht="12" customHeight="1" thickBot="1" x14ac:dyDescent="0.3">
      <c r="A58" s="374">
        <f>'KV_1.1.sz.mell.'!A58</f>
        <v>49</v>
      </c>
      <c r="B58" s="324" t="str">
        <f>'KV_1.1.sz.mell.'!B58</f>
        <v>Működési célú átvett pénzeszközök (50+ … + 52)</v>
      </c>
      <c r="C58" s="177">
        <f>SUM(C59:C61)</f>
        <v>0</v>
      </c>
    </row>
    <row r="59" spans="1:3" s="1" customFormat="1" ht="12" customHeight="1" x14ac:dyDescent="0.25">
      <c r="A59" s="371" t="str">
        <f>'KV_1.1.sz.mell.'!A59</f>
        <v>50</v>
      </c>
      <c r="B59" s="325" t="str">
        <f>'KV_1.1.sz.mell.'!B59</f>
        <v>Működési célú garancia- és kezességvállalásból megtérülések ÁH-n kívülről</v>
      </c>
      <c r="C59" s="180"/>
    </row>
    <row r="60" spans="1:3" s="1" customFormat="1" ht="12" customHeight="1" x14ac:dyDescent="0.25">
      <c r="A60" s="371" t="str">
        <f>'KV_1.1.sz.mell.'!A60</f>
        <v>51</v>
      </c>
      <c r="B60" s="325" t="str">
        <f>'KV_1.1.sz.mell.'!B60</f>
        <v>Működési célú visszatérítendő támogatások, kölcsönök visszatér. ÁH-n kívülről</v>
      </c>
      <c r="C60" s="179"/>
    </row>
    <row r="61" spans="1:3" s="1" customFormat="1" ht="12" customHeight="1" x14ac:dyDescent="0.25">
      <c r="A61" s="371" t="str">
        <f>'KV_1.1.sz.mell.'!A61</f>
        <v>52</v>
      </c>
      <c r="B61" s="325" t="str">
        <f>'KV_1.1.sz.mell.'!B61</f>
        <v>Egyéb működési célú átvett pénzeszköz</v>
      </c>
      <c r="C61" s="179"/>
    </row>
    <row r="62" spans="1:3" s="1" customFormat="1" ht="12" customHeight="1" thickBot="1" x14ac:dyDescent="0.3">
      <c r="A62" s="371" t="str">
        <f>'KV_1.1.sz.mell.'!A62</f>
        <v>53</v>
      </c>
      <c r="B62" s="325" t="str">
        <f>'KV_1.1.sz.mell.'!B62</f>
        <v xml:space="preserve">  52-ből EU-s támogatás (közvetlen)</v>
      </c>
      <c r="C62" s="181"/>
    </row>
    <row r="63" spans="1:3" s="1" customFormat="1" ht="12" customHeight="1" thickBot="1" x14ac:dyDescent="0.3">
      <c r="A63" s="374">
        <f>'KV_1.1.sz.mell.'!A63</f>
        <v>54</v>
      </c>
      <c r="B63" s="327" t="str">
        <f>'KV_1.1.sz.mell.'!B63</f>
        <v>Felhalmozási célú átvett pénzeszközök (55+…+57)</v>
      </c>
      <c r="C63" s="177">
        <f>SUM(C64:C66)</f>
        <v>0</v>
      </c>
    </row>
    <row r="64" spans="1:3" s="1" customFormat="1" ht="12" customHeight="1" x14ac:dyDescent="0.25">
      <c r="A64" s="371" t="str">
        <f>'KV_1.1.sz.mell.'!A64</f>
        <v>55</v>
      </c>
      <c r="B64" s="325" t="str">
        <f>'KV_1.1.sz.mell.'!B64</f>
        <v>Felhalm. célú garancia- és kezességvállalásból megtérülések ÁH-n kívülről</v>
      </c>
      <c r="C64" s="182"/>
    </row>
    <row r="65" spans="1:3" s="1" customFormat="1" ht="12" customHeight="1" x14ac:dyDescent="0.25">
      <c r="A65" s="371" t="str">
        <f>'KV_1.1.sz.mell.'!A65</f>
        <v>56</v>
      </c>
      <c r="B65" s="325" t="str">
        <f>'KV_1.1.sz.mell.'!B65</f>
        <v>Felhalm. célú visszatérítendő támogatások, kölcsönök visszatér. ÁH-n kívülről</v>
      </c>
      <c r="C65" s="182"/>
    </row>
    <row r="66" spans="1:3" s="1" customFormat="1" ht="12" customHeight="1" x14ac:dyDescent="0.25">
      <c r="A66" s="371" t="str">
        <f>'KV_1.1.sz.mell.'!A66</f>
        <v>57</v>
      </c>
      <c r="B66" s="325" t="str">
        <f>'KV_1.1.sz.mell.'!B66</f>
        <v>Egyéb felhalmozási célú átvett pénzeszköz</v>
      </c>
      <c r="C66" s="182"/>
    </row>
    <row r="67" spans="1:3" s="1" customFormat="1" ht="12" customHeight="1" thickBot="1" x14ac:dyDescent="0.3">
      <c r="A67" s="371" t="str">
        <f>'KV_1.1.sz.mell.'!A67</f>
        <v>58</v>
      </c>
      <c r="B67" s="325" t="str">
        <f>'KV_1.1.sz.mell.'!B67</f>
        <v xml:space="preserve">  57-ből EU-s támogatás (közvetlen)</v>
      </c>
      <c r="C67" s="182"/>
    </row>
    <row r="68" spans="1:3" s="1" customFormat="1" ht="12" customHeight="1" thickBot="1" x14ac:dyDescent="0.3">
      <c r="A68" s="374">
        <f>'KV_1.1.sz.mell.'!A68</f>
        <v>59</v>
      </c>
      <c r="B68" s="324" t="str">
        <f>'KV_1.1.sz.mell.'!B68</f>
        <v>KÖLTSÉGVETÉSI BEVÉTELEK ÖSSZESEN: (1+16+23+31+43+49+54)</v>
      </c>
      <c r="C68" s="183">
        <f>+C10+C25+C32+C40+C52+C58+C63</f>
        <v>33928912</v>
      </c>
    </row>
    <row r="69" spans="1:3" s="1" customFormat="1" ht="12" customHeight="1" thickBot="1" x14ac:dyDescent="0.3">
      <c r="A69" s="375">
        <f>'KV_1.1.sz.mell.'!A69</f>
        <v>60</v>
      </c>
      <c r="B69" s="324" t="str">
        <f>'KV_1.1.sz.mell.'!B69</f>
        <v>Hitel-, kölcsönfelvétel államháztartáson kívülről  (61+…+63)</v>
      </c>
      <c r="C69" s="177">
        <f>SUM(C70:C72)</f>
        <v>0</v>
      </c>
    </row>
    <row r="70" spans="1:3" s="1" customFormat="1" ht="12" customHeight="1" x14ac:dyDescent="0.25">
      <c r="A70" s="371" t="str">
        <f>'KV_1.1.sz.mell.'!A70</f>
        <v>61</v>
      </c>
      <c r="B70" s="325" t="str">
        <f>'KV_1.1.sz.mell.'!B70</f>
        <v>Hosszú lejáratú  hitelek, kölcsönök felvétele</v>
      </c>
      <c r="C70" s="182"/>
    </row>
    <row r="71" spans="1:3" s="1" customFormat="1" ht="12" customHeight="1" x14ac:dyDescent="0.25">
      <c r="A71" s="371" t="str">
        <f>'KV_1.1.sz.mell.'!A71</f>
        <v>62</v>
      </c>
      <c r="B71" s="325" t="str">
        <f>'KV_1.1.sz.mell.'!B71</f>
        <v>Likviditási célú  hitelek, kölcsönök felvétele pénzügyi vállalkozástól</v>
      </c>
      <c r="C71" s="182"/>
    </row>
    <row r="72" spans="1:3" s="1" customFormat="1" ht="12" customHeight="1" thickBot="1" x14ac:dyDescent="0.3">
      <c r="A72" s="371" t="str">
        <f>'KV_1.1.sz.mell.'!A72</f>
        <v>63</v>
      </c>
      <c r="B72" s="325" t="str">
        <f>'KV_1.1.sz.mell.'!B72</f>
        <v>Rövid lejáratú  hitelek, kölcsönök felvétele pénzügyi vállalkozástól</v>
      </c>
      <c r="C72" s="182"/>
    </row>
    <row r="73" spans="1:3" s="1" customFormat="1" ht="12" customHeight="1" thickBot="1" x14ac:dyDescent="0.3">
      <c r="A73" s="375">
        <f>'KV_1.1.sz.mell.'!A73</f>
        <v>64</v>
      </c>
      <c r="B73" s="327" t="str">
        <f>'KV_1.1.sz.mell.'!B73</f>
        <v>Belföldi értékpapírok bevételei (65 +…+ 68)</v>
      </c>
      <c r="C73" s="177">
        <f>SUM(C74:C77)</f>
        <v>0</v>
      </c>
    </row>
    <row r="74" spans="1:3" s="1" customFormat="1" ht="12" customHeight="1" x14ac:dyDescent="0.25">
      <c r="A74" s="371" t="str">
        <f>'KV_1.1.sz.mell.'!A74</f>
        <v>65</v>
      </c>
      <c r="B74" s="325" t="str">
        <f>'KV_1.1.sz.mell.'!B74</f>
        <v>Forgatási célú belföldi értékpapírok beváltása,  értékesítése</v>
      </c>
      <c r="C74" s="182"/>
    </row>
    <row r="75" spans="1:3" s="1" customFormat="1" ht="12" customHeight="1" x14ac:dyDescent="0.25">
      <c r="A75" s="371" t="str">
        <f>'KV_1.1.sz.mell.'!A75</f>
        <v>66</v>
      </c>
      <c r="B75" s="325" t="str">
        <f>'KV_1.1.sz.mell.'!B75</f>
        <v>Éven belüli lejáratú belföldi értékpapírok kibocsátása</v>
      </c>
      <c r="C75" s="182"/>
    </row>
    <row r="76" spans="1:3" s="1" customFormat="1" ht="12" customHeight="1" x14ac:dyDescent="0.25">
      <c r="A76" s="371" t="str">
        <f>'KV_1.1.sz.mell.'!A76</f>
        <v>67</v>
      </c>
      <c r="B76" s="325" t="str">
        <f>'KV_1.1.sz.mell.'!B76</f>
        <v>Befektetési célú belföldi értékpapírok beváltása,  értékesítése</v>
      </c>
      <c r="C76" s="222"/>
    </row>
    <row r="77" spans="1:3" s="1" customFormat="1" ht="12" customHeight="1" thickBot="1" x14ac:dyDescent="0.3">
      <c r="A77" s="371" t="str">
        <f>'KV_1.1.sz.mell.'!A77</f>
        <v>68</v>
      </c>
      <c r="B77" s="325" t="str">
        <f>'KV_1.1.sz.mell.'!B77</f>
        <v>Éven túli lejáratú belföldi értékpapírok kibocsátása</v>
      </c>
      <c r="C77" s="286"/>
    </row>
    <row r="78" spans="1:3" s="1" customFormat="1" ht="12" customHeight="1" thickBot="1" x14ac:dyDescent="0.3">
      <c r="A78" s="375">
        <f>'KV_1.1.sz.mell.'!A78</f>
        <v>69</v>
      </c>
      <c r="B78" s="327" t="str">
        <f>'KV_1.1.sz.mell.'!B78</f>
        <v>Maradvány igénybevétele (70 + 71)</v>
      </c>
      <c r="C78" s="177">
        <f>SUM(C79:C80)</f>
        <v>29029186</v>
      </c>
    </row>
    <row r="79" spans="1:3" s="1" customFormat="1" ht="12" customHeight="1" thickBot="1" x14ac:dyDescent="0.3">
      <c r="A79" s="371" t="str">
        <f>'KV_1.1.sz.mell.'!A79</f>
        <v>70</v>
      </c>
      <c r="B79" s="397" t="str">
        <f>'KV_1.1.sz.mell.'!B79</f>
        <v>Előző év költségvetési maradványának igénybevétele</v>
      </c>
      <c r="C79" s="336">
        <v>29029186</v>
      </c>
    </row>
    <row r="80" spans="1:3" s="1" customFormat="1" ht="12" customHeight="1" thickBot="1" x14ac:dyDescent="0.3">
      <c r="A80" s="371" t="str">
        <f>'KV_1.1.sz.mell.'!A80</f>
        <v>71</v>
      </c>
      <c r="B80" s="397" t="str">
        <f>'KV_1.1.sz.mell.'!B80</f>
        <v>Előző év vállalkozási maradványának igénybevétele</v>
      </c>
      <c r="C80" s="286"/>
    </row>
    <row r="81" spans="1:12" s="1" customFormat="1" ht="12" customHeight="1" thickBot="1" x14ac:dyDescent="0.3">
      <c r="A81" s="375">
        <f>'KV_1.1.sz.mell.'!A81</f>
        <v>72</v>
      </c>
      <c r="B81" s="327" t="str">
        <f>'KV_1.1.sz.mell.'!B81</f>
        <v>Belföldi finanszírozás bevételei (73 + … + 75)</v>
      </c>
      <c r="C81" s="177">
        <f>SUM(C82:C84)</f>
        <v>0</v>
      </c>
    </row>
    <row r="82" spans="1:12" s="1" customFormat="1" ht="12" customHeight="1" x14ac:dyDescent="0.25">
      <c r="A82" s="371" t="str">
        <f>'KV_1.1.sz.mell.'!A82</f>
        <v>73</v>
      </c>
      <c r="B82" s="325" t="str">
        <f>'KV_1.1.sz.mell.'!B82</f>
        <v>Államháztartáson belüli megelőlegezések</v>
      </c>
      <c r="C82" s="182"/>
    </row>
    <row r="83" spans="1:12" s="1" customFormat="1" ht="12" customHeight="1" x14ac:dyDescent="0.25">
      <c r="A83" s="371" t="str">
        <f>'KV_1.1.sz.mell.'!A83</f>
        <v>74</v>
      </c>
      <c r="B83" s="325" t="str">
        <f>'KV_1.1.sz.mell.'!B83</f>
        <v>Államháztartáson belüli megelőlegezések törlesztése</v>
      </c>
      <c r="C83" s="182"/>
    </row>
    <row r="84" spans="1:12" s="1" customFormat="1" ht="12" customHeight="1" thickBot="1" x14ac:dyDescent="0.3">
      <c r="A84" s="372" t="str">
        <f>'KV_1.1.sz.mell.'!A84</f>
        <v>75</v>
      </c>
      <c r="B84" s="325" t="str">
        <f>'KV_1.1.sz.mell.'!B84</f>
        <v>Lekötött betétek megszüntetése</v>
      </c>
      <c r="C84" s="286"/>
    </row>
    <row r="85" spans="1:12" s="1" customFormat="1" ht="12" customHeight="1" thickBot="1" x14ac:dyDescent="0.3">
      <c r="A85" s="376" t="str">
        <f>'KV_1.1.sz.mell.'!A85</f>
        <v>76</v>
      </c>
      <c r="B85" s="327" t="str">
        <f>'KV_1.1.sz.mell.'!B85</f>
        <v>Külföldi finanszírozás bevételei (77+…+80)</v>
      </c>
      <c r="C85" s="177">
        <f>SUM(C86:C89)</f>
        <v>0</v>
      </c>
    </row>
    <row r="86" spans="1:12" s="1" customFormat="1" ht="12" customHeight="1" x14ac:dyDescent="0.25">
      <c r="A86" s="371" t="str">
        <f>'KV_1.1.sz.mell.'!A86</f>
        <v>77</v>
      </c>
      <c r="B86" s="325" t="str">
        <f>'KV_1.1.sz.mell.'!B86</f>
        <v>Forgatási célú külföldi értékpapírok beváltása,  értékesítése</v>
      </c>
      <c r="C86" s="182"/>
    </row>
    <row r="87" spans="1:12" s="1" customFormat="1" ht="12" customHeight="1" x14ac:dyDescent="0.25">
      <c r="A87" s="371" t="str">
        <f>'KV_1.1.sz.mell.'!A87</f>
        <v>78</v>
      </c>
      <c r="B87" s="325" t="str">
        <f>'KV_1.1.sz.mell.'!B87</f>
        <v>Befektetési célú külföldi értékpapírok beváltása,  értékesítése</v>
      </c>
      <c r="C87" s="182"/>
    </row>
    <row r="88" spans="1:12" s="1" customFormat="1" ht="12" customHeight="1" x14ac:dyDescent="0.25">
      <c r="A88" s="371" t="str">
        <f>'KV_1.1.sz.mell.'!A88</f>
        <v>79</v>
      </c>
      <c r="B88" s="325" t="str">
        <f>'KV_1.1.sz.mell.'!B88</f>
        <v>Külföldi értékpapírok kibocsátása</v>
      </c>
      <c r="C88" s="182"/>
      <c r="L88" s="511"/>
    </row>
    <row r="89" spans="1:12" s="1" customFormat="1" ht="12" customHeight="1" thickBot="1" x14ac:dyDescent="0.3">
      <c r="A89" s="372" t="str">
        <f>'KV_1.1.sz.mell.'!A89</f>
        <v>80</v>
      </c>
      <c r="B89" s="325" t="str">
        <f>'KV_1.1.sz.mell.'!B89</f>
        <v>Külföldi hitelek, kölcsönök felvétele</v>
      </c>
      <c r="C89" s="182"/>
    </row>
    <row r="90" spans="1:12" s="1" customFormat="1" ht="12" customHeight="1" thickBot="1" x14ac:dyDescent="0.3">
      <c r="A90" s="376" t="str">
        <f>'KV_1.1.sz.mell.'!A90</f>
        <v>81</v>
      </c>
      <c r="B90" s="327" t="str">
        <f>'KV_1.1.sz.mell.'!B90</f>
        <v>Váltóbevételek</v>
      </c>
      <c r="C90" s="229"/>
    </row>
    <row r="91" spans="1:12" s="1" customFormat="1" ht="13.5" customHeight="1" thickBot="1" x14ac:dyDescent="0.3">
      <c r="A91" s="377" t="str">
        <f>'KV_1.1.sz.mell.'!A91</f>
        <v>82</v>
      </c>
      <c r="B91" s="327" t="str">
        <f>'KV_1.1.sz.mell.'!B91</f>
        <v>Adóssághoz nem kapcsolódó származékos ügyletek bevételei</v>
      </c>
      <c r="C91" s="229"/>
    </row>
    <row r="92" spans="1:12" s="1" customFormat="1" ht="15.75" customHeight="1" thickBot="1" x14ac:dyDescent="0.3">
      <c r="A92" s="376" t="str">
        <f>'KV_1.1.sz.mell.'!A92</f>
        <v>83</v>
      </c>
      <c r="B92" s="327" t="str">
        <f>'KV_1.1.sz.mell.'!B92</f>
        <v>FINANSZÍROZÁSI BEVÉTELEK ÖSSZESEN: (60 + 64+69+72+76+81+82)</v>
      </c>
      <c r="C92" s="183">
        <f>+C69+C73+C78+C81+C85+C90+C91</f>
        <v>29029186</v>
      </c>
    </row>
    <row r="93" spans="1:12" s="1" customFormat="1" ht="16.5" customHeight="1" thickBot="1" x14ac:dyDescent="0.3">
      <c r="A93" s="387" t="str">
        <f>'KV_1.1.sz.mell.'!A93</f>
        <v>84</v>
      </c>
      <c r="B93" s="327" t="str">
        <f>'KV_1.1.sz.mell.'!B93</f>
        <v>KÖLTSÉGVETÉSI ÉS FINANSZÍROZÁSI BEVÉTELEK ÖSSZESEN: (59+83)</v>
      </c>
      <c r="C93" s="183">
        <f>+C68+C92</f>
        <v>62958098</v>
      </c>
    </row>
    <row r="94" spans="1:12" s="1" customFormat="1" ht="11.1" customHeight="1" x14ac:dyDescent="0.25">
      <c r="A94" s="416"/>
      <c r="B94" s="4"/>
      <c r="C94" s="184"/>
    </row>
    <row r="95" spans="1:12" ht="16.5" customHeight="1" x14ac:dyDescent="0.3">
      <c r="A95" s="674" t="str">
        <f>'KV_1.1.sz.mell.'!A95</f>
        <v>K I A D Á S O K</v>
      </c>
      <c r="B95" s="674"/>
      <c r="C95" s="674"/>
    </row>
    <row r="96" spans="1:12" ht="16.5" customHeight="1" thickBot="1" x14ac:dyDescent="0.35">
      <c r="A96" s="672"/>
      <c r="B96" s="672"/>
      <c r="C96" s="421" t="str">
        <f>'KV_1.1.sz.mell.'!C96</f>
        <v>Forintban!</v>
      </c>
    </row>
    <row r="97" spans="1:3" ht="27.75" customHeight="1" thickBot="1" x14ac:dyDescent="0.35">
      <c r="A97" s="512" t="str">
        <f>'KV_1.1.sz.mell.'!A97</f>
        <v>Sor-
szám</v>
      </c>
      <c r="B97" s="282" t="str">
        <f>'KV_1.1.sz.mell.'!B97</f>
        <v>Kiadási jogcímek</v>
      </c>
      <c r="C97" s="422" t="str">
        <f>'KV_1.1.sz.mell.'!C97</f>
        <v>2025. évi előirányzat</v>
      </c>
    </row>
    <row r="98" spans="1:3" s="16" customFormat="1" ht="12" customHeight="1" thickBot="1" x14ac:dyDescent="0.25">
      <c r="A98" s="417"/>
      <c r="B98" s="282" t="str">
        <f>'KV_1.1.sz.mell.'!B98</f>
        <v>A</v>
      </c>
      <c r="C98" s="283" t="str">
        <f>'KV_1.1.sz.mell.'!C98</f>
        <v>B</v>
      </c>
    </row>
    <row r="99" spans="1:3" ht="12" customHeight="1" thickBot="1" x14ac:dyDescent="0.35">
      <c r="A99" s="376">
        <f>'KV_1.1.sz.mell.'!A99</f>
        <v>1</v>
      </c>
      <c r="B99" s="9" t="str">
        <f>'KV_1.1.sz.mell.'!B99</f>
        <v xml:space="preserve">   Működési költségvetés kiadásai (2+…+6)</v>
      </c>
      <c r="C99" s="176">
        <f>C100+C101+C102+C103+C104</f>
        <v>91442232</v>
      </c>
    </row>
    <row r="100" spans="1:3" ht="12" customHeight="1" thickBot="1" x14ac:dyDescent="0.35">
      <c r="A100" s="373" t="str">
        <f>'KV_1.1.sz.mell.'!A100</f>
        <v>2</v>
      </c>
      <c r="B100" s="401" t="str">
        <f>'KV_1.1.sz.mell.'!B100</f>
        <v>Személyi  juttatások</v>
      </c>
      <c r="C100" s="178">
        <v>27500000</v>
      </c>
    </row>
    <row r="101" spans="1:3" ht="12" customHeight="1" x14ac:dyDescent="0.3">
      <c r="A101" s="371" t="str">
        <f>'KV_1.1.sz.mell.'!A101</f>
        <v>3</v>
      </c>
      <c r="B101" s="330" t="str">
        <f>'KV_1.1.sz.mell.'!B101</f>
        <v>Munkaadókat terhelő járulékok és szociális hozzájárulási adó</v>
      </c>
      <c r="C101" s="179">
        <v>2955000</v>
      </c>
    </row>
    <row r="102" spans="1:3" ht="12" customHeight="1" x14ac:dyDescent="0.3">
      <c r="A102" s="371" t="str">
        <f>'KV_1.1.sz.mell.'!A102</f>
        <v>4</v>
      </c>
      <c r="B102" s="331" t="str">
        <f>'KV_1.1.sz.mell.'!B102</f>
        <v>Dologi  kiadások</v>
      </c>
      <c r="C102" s="181">
        <v>32569000</v>
      </c>
    </row>
    <row r="103" spans="1:3" ht="12" customHeight="1" x14ac:dyDescent="0.3">
      <c r="A103" s="371" t="str">
        <f>'KV_1.1.sz.mell.'!A103</f>
        <v>5</v>
      </c>
      <c r="B103" s="331" t="str">
        <f>'KV_1.1.sz.mell.'!B103</f>
        <v>Ellátottak pénzbeli juttatásai</v>
      </c>
      <c r="C103" s="181">
        <v>2760000</v>
      </c>
    </row>
    <row r="104" spans="1:3" ht="12" customHeight="1" x14ac:dyDescent="0.3">
      <c r="A104" s="371" t="str">
        <f>'KV_1.1.sz.mell.'!A104</f>
        <v>6</v>
      </c>
      <c r="B104" s="331" t="str">
        <f>'KV_1.1.sz.mell.'!B104</f>
        <v>Egyéb működési célú kiadások</v>
      </c>
      <c r="C104" s="181">
        <f>SUM(C105:C117)</f>
        <v>25658232</v>
      </c>
    </row>
    <row r="105" spans="1:3" ht="12" customHeight="1" x14ac:dyDescent="0.3">
      <c r="A105" s="371" t="str">
        <f>'KV_1.1.sz.mell.'!A105</f>
        <v>7</v>
      </c>
      <c r="B105" s="331" t="str">
        <f>'KV_1.1.sz.mell.'!B105</f>
        <v xml:space="preserve">   - a 6-ból:       - Előző évi elszámolásból származó befizetések</v>
      </c>
      <c r="C105" s="181"/>
    </row>
    <row r="106" spans="1:3" ht="12" customHeight="1" x14ac:dyDescent="0.3">
      <c r="A106" s="371" t="str">
        <f>'KV_1.1.sz.mell.'!A106</f>
        <v>8</v>
      </c>
      <c r="B106" s="331" t="str">
        <f>'KV_1.1.sz.mell.'!B106</f>
        <v xml:space="preserve">   - Törvényi előíráson alapuló befizetések</v>
      </c>
      <c r="C106" s="181">
        <v>7708157</v>
      </c>
    </row>
    <row r="107" spans="1:3" ht="12" customHeight="1" x14ac:dyDescent="0.3">
      <c r="A107" s="371" t="str">
        <f>'KV_1.1.sz.mell.'!A107</f>
        <v>9</v>
      </c>
      <c r="B107" s="331" t="str">
        <f>'KV_1.1.sz.mell.'!B107</f>
        <v xml:space="preserve">   - Egyéb elvonások, befizetések</v>
      </c>
      <c r="C107" s="181"/>
    </row>
    <row r="108" spans="1:3" ht="12" customHeight="1" x14ac:dyDescent="0.3">
      <c r="A108" s="371" t="str">
        <f>'KV_1.1.sz.mell.'!A108</f>
        <v>10</v>
      </c>
      <c r="B108" s="331" t="str">
        <f>'KV_1.1.sz.mell.'!B108</f>
        <v xml:space="preserve">   - Garancia- és kezességvállalásból kifizetés ÁH-n belülre</v>
      </c>
      <c r="C108" s="181"/>
    </row>
    <row r="109" spans="1:3" ht="12" customHeight="1" x14ac:dyDescent="0.3">
      <c r="A109" s="371" t="str">
        <f>'KV_1.1.sz.mell.'!A109</f>
        <v>11</v>
      </c>
      <c r="B109" s="331" t="str">
        <f>'KV_1.1.sz.mell.'!B109</f>
        <v xml:space="preserve">   -Visszatérítendő támogatások, kölcsönök nyújtása ÁH-n belülre</v>
      </c>
      <c r="C109" s="181"/>
    </row>
    <row r="110" spans="1:3" ht="12" customHeight="1" x14ac:dyDescent="0.3">
      <c r="A110" s="371" t="str">
        <f>'KV_1.1.sz.mell.'!A110</f>
        <v>12</v>
      </c>
      <c r="B110" s="331" t="str">
        <f>'KV_1.1.sz.mell.'!B110</f>
        <v xml:space="preserve">   - Visszatérítendő támogatások, kölcsönök törlesztése ÁH-n belülre</v>
      </c>
      <c r="C110" s="181"/>
    </row>
    <row r="111" spans="1:3" ht="12" customHeight="1" x14ac:dyDescent="0.3">
      <c r="A111" s="371" t="str">
        <f>'KV_1.1.sz.mell.'!A111</f>
        <v>13</v>
      </c>
      <c r="B111" s="331" t="str">
        <f>'KV_1.1.sz.mell.'!B111</f>
        <v xml:space="preserve">   - Egyéb működési célú támogatások ÁH-n belülre</v>
      </c>
      <c r="C111" s="181">
        <v>17445581</v>
      </c>
    </row>
    <row r="112" spans="1:3" ht="12" customHeight="1" x14ac:dyDescent="0.3">
      <c r="A112" s="371" t="str">
        <f>'KV_1.1.sz.mell.'!A112</f>
        <v>14</v>
      </c>
      <c r="B112" s="331" t="str">
        <f>'KV_1.1.sz.mell.'!B112</f>
        <v xml:space="preserve">   - Garancia és kezességvállalásból kifizetés ÁH-n kívülre</v>
      </c>
      <c r="C112" s="181"/>
    </row>
    <row r="113" spans="1:3" ht="12" customHeight="1" x14ac:dyDescent="0.3">
      <c r="A113" s="371" t="str">
        <f>'KV_1.1.sz.mell.'!A113</f>
        <v>15</v>
      </c>
      <c r="B113" s="331" t="str">
        <f>'KV_1.1.sz.mell.'!B113</f>
        <v xml:space="preserve">   - Visszatérítendő támogatások, kölcsönök nyújtása ÁH-n kívülre</v>
      </c>
      <c r="C113" s="181"/>
    </row>
    <row r="114" spans="1:3" ht="12" customHeight="1" x14ac:dyDescent="0.3">
      <c r="A114" s="371" t="str">
        <f>'KV_1.1.sz.mell.'!A114</f>
        <v>16</v>
      </c>
      <c r="B114" s="331" t="str">
        <f>'KV_1.1.sz.mell.'!B114</f>
        <v xml:space="preserve">   - Árkiegészítések, ártámogatások</v>
      </c>
      <c r="C114" s="181"/>
    </row>
    <row r="115" spans="1:3" ht="12" customHeight="1" x14ac:dyDescent="0.3">
      <c r="A115" s="371" t="str">
        <f>'KV_1.1.sz.mell.'!A115</f>
        <v>17</v>
      </c>
      <c r="B115" s="331" t="str">
        <f>'KV_1.1.sz.mell.'!B115</f>
        <v xml:space="preserve">   - Kamattámogatások</v>
      </c>
      <c r="C115" s="181"/>
    </row>
    <row r="116" spans="1:3" ht="12" customHeight="1" x14ac:dyDescent="0.3">
      <c r="A116" s="371" t="str">
        <f>'KV_1.1.sz.mell.'!A116</f>
        <v>18</v>
      </c>
      <c r="B116" s="331" t="str">
        <f>'KV_1.1.sz.mell.'!B116</f>
        <v xml:space="preserve">   - Egyéb működési célú támogatások államháztartáson kívülre</v>
      </c>
      <c r="C116" s="181"/>
    </row>
    <row r="117" spans="1:3" ht="12" customHeight="1" x14ac:dyDescent="0.3">
      <c r="A117" s="371" t="str">
        <f>'KV_1.1.sz.mell.'!A117</f>
        <v>19</v>
      </c>
      <c r="B117" s="331" t="str">
        <f>'KV_1.1.sz.mell.'!B117</f>
        <v xml:space="preserve">   - Tartalékok</v>
      </c>
      <c r="C117" s="179">
        <f>SUM(C118:C119)</f>
        <v>504494</v>
      </c>
    </row>
    <row r="118" spans="1:3" ht="12" customHeight="1" x14ac:dyDescent="0.3">
      <c r="A118" s="371" t="str">
        <f>'KV_1.1.sz.mell.'!A118</f>
        <v>20</v>
      </c>
      <c r="B118" s="331" t="str">
        <f>'KV_1.1.sz.mell.'!B118</f>
        <v xml:space="preserve">         - a 19-ből:             - Általános tartalék</v>
      </c>
      <c r="C118" s="179">
        <v>504494</v>
      </c>
    </row>
    <row r="119" spans="1:3" ht="12" customHeight="1" thickBot="1" x14ac:dyDescent="0.35">
      <c r="A119" s="372" t="str">
        <f>'KV_1.1.sz.mell.'!A119</f>
        <v>21</v>
      </c>
      <c r="B119" s="383" t="str">
        <f>'KV_1.1.sz.mell.'!B119</f>
        <v xml:space="preserve">                                       - Céltartalék</v>
      </c>
      <c r="C119" s="185"/>
    </row>
    <row r="120" spans="1:3" ht="12" customHeight="1" thickBot="1" x14ac:dyDescent="0.35">
      <c r="A120" s="376" t="str">
        <f>'KV_1.1.sz.mell.'!A120</f>
        <v>22</v>
      </c>
      <c r="B120" s="244" t="str">
        <f>'KV_1.1.sz.mell.'!B120</f>
        <v xml:space="preserve">   Felhalmozási költségvetés kiadásai (23+25+27)</v>
      </c>
      <c r="C120" s="245">
        <f>+C121+C123+C125</f>
        <v>0</v>
      </c>
    </row>
    <row r="121" spans="1:3" ht="12" customHeight="1" x14ac:dyDescent="0.3">
      <c r="A121" s="371">
        <f>'KV_1.1.sz.mell.'!A121</f>
        <v>23</v>
      </c>
      <c r="B121" s="331" t="str">
        <f>'KV_1.1.sz.mell.'!B121</f>
        <v>Beruházások</v>
      </c>
      <c r="C121" s="180"/>
    </row>
    <row r="122" spans="1:3" ht="12" customHeight="1" x14ac:dyDescent="0.3">
      <c r="A122" s="371" t="str">
        <f>'KV_1.1.sz.mell.'!A122</f>
        <v>24</v>
      </c>
      <c r="B122" s="331" t="str">
        <f>'KV_1.1.sz.mell.'!B122</f>
        <v>23-ból EU-s forrásból megvalósuló beruházás</v>
      </c>
      <c r="C122" s="180"/>
    </row>
    <row r="123" spans="1:3" ht="12" customHeight="1" x14ac:dyDescent="0.3">
      <c r="A123" s="371" t="str">
        <f>'KV_1.1.sz.mell.'!A123</f>
        <v>25</v>
      </c>
      <c r="B123" s="331" t="str">
        <f>'KV_1.1.sz.mell.'!B123</f>
        <v>Felújítások</v>
      </c>
      <c r="C123" s="179"/>
    </row>
    <row r="124" spans="1:3" ht="12" customHeight="1" x14ac:dyDescent="0.3">
      <c r="A124" s="371" t="str">
        <f>'KV_1.1.sz.mell.'!A124</f>
        <v>26</v>
      </c>
      <c r="B124" s="331" t="str">
        <f>'KV_1.1.sz.mell.'!B124</f>
        <v>25-ből EU-s forrásból megvalósuló felújítás</v>
      </c>
      <c r="C124" s="154"/>
    </row>
    <row r="125" spans="1:3" ht="12" customHeight="1" x14ac:dyDescent="0.3">
      <c r="A125" s="371" t="str">
        <f>'KV_1.1.sz.mell.'!A125</f>
        <v>27</v>
      </c>
      <c r="B125" s="331" t="str">
        <f>'KV_1.1.sz.mell.'!B125</f>
        <v>Egyéb felhalmozási célú kiadások</v>
      </c>
      <c r="C125" s="154"/>
    </row>
    <row r="126" spans="1:3" ht="12" customHeight="1" x14ac:dyDescent="0.3">
      <c r="A126" s="371" t="str">
        <f>'KV_1.1.sz.mell.'!A126</f>
        <v>28</v>
      </c>
      <c r="B126" s="331" t="str">
        <f>'KV_1.1.sz.mell.'!B126</f>
        <v>27-ből           - Garancia- és kezességvállalásból kifizetés ÁH-n belülre</v>
      </c>
      <c r="C126" s="154"/>
    </row>
    <row r="127" spans="1:3" ht="12" customHeight="1" x14ac:dyDescent="0.3">
      <c r="A127" s="371" t="str">
        <f>'KV_1.1.sz.mell.'!A127</f>
        <v>29</v>
      </c>
      <c r="B127" s="331" t="str">
        <f>'KV_1.1.sz.mell.'!B127</f>
        <v xml:space="preserve">   - Visszatérítendő támogatások, kölcsönök nyújtása ÁH-n belülre</v>
      </c>
      <c r="C127" s="154"/>
    </row>
    <row r="128" spans="1:3" x14ac:dyDescent="0.3">
      <c r="A128" s="371" t="str">
        <f>'KV_1.1.sz.mell.'!A128</f>
        <v>30</v>
      </c>
      <c r="B128" s="331" t="str">
        <f>'KV_1.1.sz.mell.'!B128</f>
        <v xml:space="preserve">   - Visszatérítendő támogatások, kölcsönök törlesztése ÁH-n belülre</v>
      </c>
      <c r="C128" s="154"/>
    </row>
    <row r="129" spans="1:3" ht="12" customHeight="1" x14ac:dyDescent="0.3">
      <c r="A129" s="371" t="str">
        <f>'KV_1.1.sz.mell.'!A129</f>
        <v>31</v>
      </c>
      <c r="B129" s="331" t="str">
        <f>'KV_1.1.sz.mell.'!B129</f>
        <v xml:space="preserve">   - Egyéb felhalmozási célú támogatások ÁH-n belülre</v>
      </c>
      <c r="C129" s="154"/>
    </row>
    <row r="130" spans="1:3" ht="12" customHeight="1" x14ac:dyDescent="0.3">
      <c r="A130" s="371" t="str">
        <f>'KV_1.1.sz.mell.'!A130</f>
        <v>32</v>
      </c>
      <c r="B130" s="331" t="str">
        <f>'KV_1.1.sz.mell.'!B130</f>
        <v xml:space="preserve">   - Garancia- és kezességvállalásból kifizetés ÁH-n kívülre</v>
      </c>
      <c r="C130" s="154"/>
    </row>
    <row r="131" spans="1:3" ht="12" customHeight="1" x14ac:dyDescent="0.3">
      <c r="A131" s="371" t="str">
        <f>'KV_1.1.sz.mell.'!A131</f>
        <v>33</v>
      </c>
      <c r="B131" s="331" t="str">
        <f>'KV_1.1.sz.mell.'!B131</f>
        <v xml:space="preserve">   - Visszatérítendő támogatások, kölcsönök nyújtása ÁH-n kívülre</v>
      </c>
      <c r="C131" s="154"/>
    </row>
    <row r="132" spans="1:3" ht="12" customHeight="1" x14ac:dyDescent="0.3">
      <c r="A132" s="371" t="str">
        <f>'KV_1.1.sz.mell.'!A132</f>
        <v>34</v>
      </c>
      <c r="B132" s="331" t="str">
        <f>'KV_1.1.sz.mell.'!B132</f>
        <v xml:space="preserve">   - Lakástámogatás</v>
      </c>
      <c r="C132" s="154"/>
    </row>
    <row r="133" spans="1:3" ht="16.2" thickBot="1" x14ac:dyDescent="0.35">
      <c r="A133" s="371">
        <f>'KV_1.1.sz.mell.'!A133</f>
        <v>35</v>
      </c>
      <c r="B133" s="331" t="str">
        <f>'KV_1.1.sz.mell.'!B133</f>
        <v xml:space="preserve">   - Egyéb felhalmozási célú támogatások államháztartáson kívülre</v>
      </c>
      <c r="C133" s="155"/>
    </row>
    <row r="134" spans="1:3" ht="12" customHeight="1" thickBot="1" x14ac:dyDescent="0.35">
      <c r="A134" s="376">
        <f>'KV_1.1.sz.mell.'!A134</f>
        <v>36</v>
      </c>
      <c r="B134" s="81" t="str">
        <f>'KV_1.1.sz.mell.'!B134</f>
        <v>KÖLTSÉGVETÉSI KIADÁSOK ÖSSZESEN (1+22)</v>
      </c>
      <c r="C134" s="177">
        <f>+C99+C120</f>
        <v>91442232</v>
      </c>
    </row>
    <row r="135" spans="1:3" ht="12" customHeight="1" thickBot="1" x14ac:dyDescent="0.35">
      <c r="A135" s="376">
        <f>'KV_1.1.sz.mell.'!A135</f>
        <v>37</v>
      </c>
      <c r="B135" s="81" t="str">
        <f>'KV_1.1.sz.mell.'!B135</f>
        <v>Hitel-, kölcsöntörlesztés államháztartáson kívülre (38+ … + 40)</v>
      </c>
      <c r="C135" s="177">
        <f>+C136+C137+C138</f>
        <v>0</v>
      </c>
    </row>
    <row r="136" spans="1:3" ht="12" customHeight="1" x14ac:dyDescent="0.3">
      <c r="A136" s="371">
        <f>'KV_1.1.sz.mell.'!A136</f>
        <v>38</v>
      </c>
      <c r="B136" s="333" t="str">
        <f>'KV_1.1.sz.mell.'!B136</f>
        <v>Hosszú lejáratú hitelek, kölcsönök törlesztése pénzügyi vállalkozásnak</v>
      </c>
      <c r="C136" s="154"/>
    </row>
    <row r="137" spans="1:3" ht="12" customHeight="1" x14ac:dyDescent="0.3">
      <c r="A137" s="371" t="str">
        <f>'KV_1.1.sz.mell.'!A137</f>
        <v>39</v>
      </c>
      <c r="B137" s="333" t="str">
        <f>'KV_1.1.sz.mell.'!B137</f>
        <v>Likviditási célú hitelek, kölcsönök törlesztése pénzügyi vállalkozásnak</v>
      </c>
      <c r="C137" s="154"/>
    </row>
    <row r="138" spans="1:3" ht="12" customHeight="1" thickBot="1" x14ac:dyDescent="0.35">
      <c r="A138" s="371" t="str">
        <f>'KV_1.1.sz.mell.'!A138</f>
        <v>40</v>
      </c>
      <c r="B138" s="333" t="str">
        <f>'KV_1.1.sz.mell.'!B138</f>
        <v>Rövid lejáratú hitelek, kölcsönök törlesztése pénzügyi vállalkozásnak</v>
      </c>
      <c r="C138" s="154"/>
    </row>
    <row r="139" spans="1:3" ht="12" customHeight="1" thickBot="1" x14ac:dyDescent="0.35">
      <c r="A139" s="376">
        <f>'KV_1.1.sz.mell.'!A139</f>
        <v>41</v>
      </c>
      <c r="B139" s="81" t="str">
        <f>'KV_1.1.sz.mell.'!B139</f>
        <v>Belföldi értékpapírok kiadásai (42+ … + 47)</v>
      </c>
      <c r="C139" s="177">
        <f>SUM(C140:C145)</f>
        <v>0</v>
      </c>
    </row>
    <row r="140" spans="1:3" ht="12" customHeight="1" x14ac:dyDescent="0.3">
      <c r="A140" s="371">
        <f>'KV_1.1.sz.mell.'!A140</f>
        <v>42</v>
      </c>
      <c r="B140" s="334" t="str">
        <f>'KV_1.1.sz.mell.'!B140</f>
        <v>Forgatási célú belföldi értékpapírok vásárlása</v>
      </c>
      <c r="C140" s="154"/>
    </row>
    <row r="141" spans="1:3" ht="12" customHeight="1" x14ac:dyDescent="0.3">
      <c r="A141" s="371">
        <f>'KV_1.1.sz.mell.'!A141</f>
        <v>43</v>
      </c>
      <c r="B141" s="334" t="str">
        <f>'KV_1.1.sz.mell.'!B141</f>
        <v>Befektetési célú belföldi értékpapírok vásárlása</v>
      </c>
      <c r="C141" s="154"/>
    </row>
    <row r="142" spans="1:3" ht="12" customHeight="1" x14ac:dyDescent="0.3">
      <c r="A142" s="371" t="str">
        <f>'KV_1.1.sz.mell.'!A142</f>
        <v>44</v>
      </c>
      <c r="B142" s="334" t="str">
        <f>'KV_1.1.sz.mell.'!B142</f>
        <v>Kincstárjegyek beváltása</v>
      </c>
      <c r="C142" s="154"/>
    </row>
    <row r="143" spans="1:3" ht="12" customHeight="1" x14ac:dyDescent="0.3">
      <c r="A143" s="371" t="str">
        <f>'KV_1.1.sz.mell.'!A143</f>
        <v>45</v>
      </c>
      <c r="B143" s="334" t="str">
        <f>'KV_1.1.sz.mell.'!B143</f>
        <v>Éven belüli lejáratú belföldi értékpapírok beváltása</v>
      </c>
      <c r="C143" s="154"/>
    </row>
    <row r="144" spans="1:3" ht="12" customHeight="1" x14ac:dyDescent="0.3">
      <c r="A144" s="371" t="str">
        <f>'KV_1.1.sz.mell.'!A144</f>
        <v>46</v>
      </c>
      <c r="B144" s="334" t="str">
        <f>'KV_1.1.sz.mell.'!B144</f>
        <v>Belföldi kötvények beváltása</v>
      </c>
      <c r="C144" s="155"/>
    </row>
    <row r="145" spans="1:9" ht="12" customHeight="1" thickBot="1" x14ac:dyDescent="0.35">
      <c r="A145" s="473">
        <f>'KV_1.1.sz.mell.'!A145</f>
        <v>47</v>
      </c>
      <c r="B145" s="383" t="str">
        <f>'KV_1.1.sz.mell.'!B145</f>
        <v>Éven túli lejáratú belföldi értékpapírok beváltása</v>
      </c>
      <c r="C145" s="247"/>
    </row>
    <row r="146" spans="1:9" ht="12" customHeight="1" thickBot="1" x14ac:dyDescent="0.35">
      <c r="A146" s="376">
        <f>'KV_1.1.sz.mell.'!A146</f>
        <v>48</v>
      </c>
      <c r="B146" s="81" t="str">
        <f>'KV_1.1.sz.mell.'!B146</f>
        <v>Belföldi finanszírozás kiadásai (49+ … + 52)</v>
      </c>
      <c r="C146" s="183">
        <f>+C147+C148+C149+C150</f>
        <v>795305</v>
      </c>
    </row>
    <row r="147" spans="1:9" ht="12" customHeight="1" x14ac:dyDescent="0.3">
      <c r="A147" s="371">
        <f>'KV_1.1.sz.mell.'!A147</f>
        <v>49</v>
      </c>
      <c r="B147" s="334" t="str">
        <f>'KV_1.1.sz.mell.'!B147</f>
        <v>Államháztartáson belüli megelőlegezések folyósítása</v>
      </c>
      <c r="C147" s="154"/>
    </row>
    <row r="148" spans="1:9" ht="12" customHeight="1" x14ac:dyDescent="0.3">
      <c r="A148" s="371" t="str">
        <f>'KV_1.1.sz.mell.'!A148</f>
        <v>50</v>
      </c>
      <c r="B148" s="334" t="str">
        <f>'KV_1.1.sz.mell.'!B148</f>
        <v>Államháztartáson belüli megelőlegezések visszafizetése</v>
      </c>
      <c r="C148" s="154">
        <v>795305</v>
      </c>
    </row>
    <row r="149" spans="1:9" ht="12" customHeight="1" x14ac:dyDescent="0.3">
      <c r="A149" s="371" t="str">
        <f>'KV_1.1.sz.mell.'!A149</f>
        <v>51</v>
      </c>
      <c r="B149" s="334" t="str">
        <f>'KV_1.1.sz.mell.'!B149</f>
        <v>Pénzeszközök lekötött betétként elhelyezése</v>
      </c>
      <c r="C149" s="155"/>
    </row>
    <row r="150" spans="1:9" ht="12" customHeight="1" thickBot="1" x14ac:dyDescent="0.35">
      <c r="A150" s="372">
        <f>'KV_1.1.sz.mell.'!A150</f>
        <v>52</v>
      </c>
      <c r="B150" s="334" t="str">
        <f>'KV_1.1.sz.mell.'!B150</f>
        <v>Pénzügyi lízing kiadásai</v>
      </c>
      <c r="C150" s="247"/>
    </row>
    <row r="151" spans="1:9" ht="12" customHeight="1" thickBot="1" x14ac:dyDescent="0.35">
      <c r="A151" s="376">
        <f>'KV_1.1.sz.mell.'!A151</f>
        <v>53</v>
      </c>
      <c r="B151" s="81" t="str">
        <f>'KV_1.1.sz.mell.'!B151</f>
        <v>Külföldi finanszírozás kiadásai (54+ … + 58)</v>
      </c>
      <c r="C151" s="186">
        <f>SUM(C152:C156)</f>
        <v>0</v>
      </c>
    </row>
    <row r="152" spans="1:9" ht="12" customHeight="1" x14ac:dyDescent="0.3">
      <c r="A152" s="371">
        <f>'KV_1.1.sz.mell.'!A152</f>
        <v>54</v>
      </c>
      <c r="B152" s="334" t="str">
        <f>'KV_1.1.sz.mell.'!B152</f>
        <v>Forgatási célú külföldi értékpapírok vásárlása</v>
      </c>
      <c r="C152" s="154"/>
    </row>
    <row r="153" spans="1:9" ht="12" customHeight="1" x14ac:dyDescent="0.3">
      <c r="A153" s="371">
        <f>'KV_1.1.sz.mell.'!A153</f>
        <v>55</v>
      </c>
      <c r="B153" s="334" t="str">
        <f>'KV_1.1.sz.mell.'!B153</f>
        <v>Befektetési célú külföldi értékpapírok vásárlása</v>
      </c>
      <c r="C153" s="154"/>
    </row>
    <row r="154" spans="1:9" ht="12" customHeight="1" x14ac:dyDescent="0.3">
      <c r="A154" s="371" t="str">
        <f>'KV_1.1.sz.mell.'!A154</f>
        <v>56</v>
      </c>
      <c r="B154" s="334" t="str">
        <f>'KV_1.1.sz.mell.'!B154</f>
        <v>Külföldi értékpapírok beváltása</v>
      </c>
      <c r="C154" s="154"/>
    </row>
    <row r="155" spans="1:9" ht="12" customHeight="1" x14ac:dyDescent="0.3">
      <c r="A155" s="371" t="str">
        <f>'KV_1.1.sz.mell.'!A155</f>
        <v>57</v>
      </c>
      <c r="B155" s="334" t="str">
        <f>'KV_1.1.sz.mell.'!B155</f>
        <v>Hitelek, kölcsönök törlesztése külföldi kormányoknak nemz. szervezeteknek</v>
      </c>
      <c r="C155" s="154"/>
    </row>
    <row r="156" spans="1:9" ht="12" customHeight="1" thickBot="1" x14ac:dyDescent="0.35">
      <c r="A156" s="371" t="str">
        <f>'KV_1.1.sz.mell.'!A156</f>
        <v>58</v>
      </c>
      <c r="B156" s="334" t="str">
        <f>'KV_1.1.sz.mell.'!B156</f>
        <v>Hitelek, kölcsönök törlesztése külföldi pénzintézeteknek</v>
      </c>
      <c r="C156" s="154"/>
    </row>
    <row r="157" spans="1:9" ht="12" customHeight="1" thickBot="1" x14ac:dyDescent="0.35">
      <c r="A157" s="376">
        <f>'KV_1.1.sz.mell.'!A157</f>
        <v>59</v>
      </c>
      <c r="B157" s="81" t="str">
        <f>'KV_1.1.sz.mell.'!B157</f>
        <v>Adóssághoz nem kapcsolódó származékos ügyletek</v>
      </c>
      <c r="C157" s="246"/>
    </row>
    <row r="158" spans="1:9" ht="12" customHeight="1" thickBot="1" x14ac:dyDescent="0.35">
      <c r="A158" s="376">
        <f>'KV_1.1.sz.mell.'!A158</f>
        <v>60</v>
      </c>
      <c r="B158" s="81" t="str">
        <f>'KV_1.1.sz.mell.'!B158</f>
        <v>Váltókiadások</v>
      </c>
      <c r="C158" s="246"/>
    </row>
    <row r="159" spans="1:9" ht="15.15" customHeight="1" thickBot="1" x14ac:dyDescent="0.35">
      <c r="A159" s="376">
        <f>'KV_1.1.sz.mell.'!A159</f>
        <v>61</v>
      </c>
      <c r="B159" s="81" t="str">
        <f>'KV_1.1.sz.mell.'!B159</f>
        <v>FINANSZÍROZÁSI KIADÁSOK ÖSSZESEN: (37+41+48+53+59+60)</v>
      </c>
      <c r="C159" s="287">
        <f>+C135+C139+C146+C151+C157+C158</f>
        <v>795305</v>
      </c>
      <c r="F159" s="17"/>
      <c r="G159" s="76"/>
      <c r="H159" s="76"/>
      <c r="I159" s="76"/>
    </row>
    <row r="160" spans="1:9" s="1" customFormat="1" ht="17.25" customHeight="1" thickBot="1" x14ac:dyDescent="0.3">
      <c r="A160" s="376">
        <f>'KV_1.1.sz.mell.'!A160</f>
        <v>62</v>
      </c>
      <c r="B160" s="81" t="str">
        <f>'KV_1.1.sz.mell.'!B160</f>
        <v>KIADÁSOK ÖSSZESEN: (36.+61)</v>
      </c>
      <c r="C160" s="287">
        <f>+C134+C159</f>
        <v>92237537</v>
      </c>
    </row>
    <row r="161" spans="1:3" ht="10.5" customHeight="1" x14ac:dyDescent="0.3">
      <c r="A161" s="418"/>
      <c r="B161" s="413"/>
      <c r="C161" s="305">
        <f>C93-C160</f>
        <v>-29279439</v>
      </c>
    </row>
    <row r="162" spans="1:3" x14ac:dyDescent="0.3">
      <c r="A162" s="673" t="str">
        <f>'KV_1.1.sz.mell.'!A162</f>
        <v>KÖLTSÉGVETÉSI, FINANSZÍROZÁSI BEVÉTELEK ÉS KIADÁSOK EGYENLEGE</v>
      </c>
      <c r="B162" s="673"/>
      <c r="C162" s="673"/>
    </row>
    <row r="163" spans="1:3" ht="15.15" customHeight="1" thickBot="1" x14ac:dyDescent="0.35">
      <c r="A163" s="672"/>
      <c r="B163" s="672"/>
      <c r="C163" s="421" t="str">
        <f>'KV_1.1.sz.mell.'!C163</f>
        <v>Forintban!</v>
      </c>
    </row>
    <row r="164" spans="1:3" ht="13.5" customHeight="1" thickBot="1" x14ac:dyDescent="0.35">
      <c r="A164" s="374">
        <f>'KV_1.1.sz.mell.'!A164</f>
        <v>1</v>
      </c>
      <c r="B164" s="8" t="str">
        <f>'KV_1.1.sz.mell.'!B164</f>
        <v>Költségvetési hiány, többlet ( költségvetési bevételek 59. sor - költségvetési kiadások 36. sor) (+/-)</v>
      </c>
      <c r="C164" s="177">
        <f>+C68-C134</f>
        <v>-57513320</v>
      </c>
    </row>
    <row r="165" spans="1:3" ht="27.75" customHeight="1" thickBot="1" x14ac:dyDescent="0.35">
      <c r="A165" s="374">
        <f>'KV_1.1.sz.mell.'!A165</f>
        <v>2</v>
      </c>
      <c r="B165" s="8" t="str">
        <f>'KV_1.1.sz.mell.'!B165</f>
        <v>Finanszírozási bevételek, kiadások egyenlege (finanszírozási bevételek 83. sor - finanszírozási kiadások 61. sor)
 (+/-)</v>
      </c>
      <c r="C165" s="177">
        <f>C92-C159</f>
        <v>28233881</v>
      </c>
    </row>
  </sheetData>
  <mergeCells count="10">
    <mergeCell ref="A163:B163"/>
    <mergeCell ref="B1:C1"/>
    <mergeCell ref="A6:C6"/>
    <mergeCell ref="A7:B7"/>
    <mergeCell ref="A95:C95"/>
    <mergeCell ref="A96:B96"/>
    <mergeCell ref="A162:C162"/>
    <mergeCell ref="A4:C4"/>
    <mergeCell ref="A3:C3"/>
    <mergeCell ref="A2:C2"/>
  </mergeCells>
  <printOptions horizontalCentered="1"/>
  <pageMargins left="0.6692913385826772" right="0.6692913385826772" top="0.86614173228346458" bottom="0.86614173228346458" header="0" footer="0"/>
  <pageSetup paperSize="9" scale="74" fitToHeight="2" orientation="portrait" r:id="rId1"/>
  <headerFooter alignWithMargins="0"/>
  <rowBreaks count="2" manualBreakCount="2">
    <brk id="68" max="2" man="1"/>
    <brk id="145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8">
    <tabColor rgb="FF92D050"/>
  </sheetPr>
  <dimension ref="A1:L165"/>
  <sheetViews>
    <sheetView topLeftCell="A2" zoomScaleNormal="100" zoomScaleSheetLayoutView="100" workbookViewId="0">
      <selection activeCell="A6" sqref="A6:C165"/>
    </sheetView>
  </sheetViews>
  <sheetFormatPr defaultColWidth="9.33203125" defaultRowHeight="15.6" x14ac:dyDescent="0.3"/>
  <cols>
    <col min="1" max="1" width="6.109375" style="15" customWidth="1"/>
    <col min="2" max="2" width="99.33203125" style="15" customWidth="1"/>
    <col min="3" max="3" width="21.6640625" style="219" customWidth="1"/>
    <col min="4" max="4" width="9" style="15" customWidth="1"/>
    <col min="5" max="16384" width="9.33203125" style="15"/>
  </cols>
  <sheetData>
    <row r="1" spans="1:3" ht="18.75" hidden="1" customHeight="1" x14ac:dyDescent="0.3">
      <c r="B1" s="677" t="str">
        <f>CONCATENATE("3. melléklet ",ALAPADATOK!A7," ",ALAPADATOK!B7," ",ALAPADATOK!C7," ",ALAPADATOK!D7," ",ALAPADATOK!E7," ",ALAPADATOK!F7," ",ALAPADATOK!G7," ",ALAPADATOK!H7)</f>
        <v>3. melléklet a … / 2025. ( … ) önkormányzati rendelethez</v>
      </c>
      <c r="C1" s="678"/>
    </row>
    <row r="2" spans="1:3" ht="21.9" customHeight="1" x14ac:dyDescent="0.3">
      <c r="A2" s="679" t="str">
        <f>CONCATENATE(ALAPADATOK!A3)</f>
        <v>Alsónyék Község Önkormányzata</v>
      </c>
      <c r="B2" s="676"/>
      <c r="C2" s="676"/>
    </row>
    <row r="3" spans="1:3" ht="21.9" customHeight="1" x14ac:dyDescent="0.3">
      <c r="A3" s="679" t="str">
        <f>'KV_1.2.sz.mell.'!A3</f>
        <v>2025. ÉVI KÖLTSÉGVETÉS</v>
      </c>
      <c r="B3" s="676"/>
      <c r="C3" s="676"/>
    </row>
    <row r="4" spans="1:3" ht="21.9" customHeight="1" x14ac:dyDescent="0.3">
      <c r="A4" s="679" t="s">
        <v>313</v>
      </c>
      <c r="B4" s="676"/>
      <c r="C4" s="676"/>
    </row>
    <row r="5" spans="1:3" ht="21.9" customHeight="1" x14ac:dyDescent="0.3">
      <c r="A5" s="406"/>
      <c r="B5" s="406"/>
      <c r="C5" s="390"/>
    </row>
    <row r="6" spans="1:3" ht="15.15" customHeight="1" x14ac:dyDescent="0.3">
      <c r="A6" s="670" t="str">
        <f>'KV_1.1.sz.mell.'!A6</f>
        <v>B E V É T E L E K</v>
      </c>
      <c r="B6" s="670"/>
      <c r="C6" s="670"/>
    </row>
    <row r="7" spans="1:3" ht="15.15" customHeight="1" thickBot="1" x14ac:dyDescent="0.35">
      <c r="A7" s="671"/>
      <c r="B7" s="671"/>
      <c r="C7" s="419" t="str">
        <f>'KV_1.1.sz.mell.'!C7</f>
        <v>Forintban!</v>
      </c>
    </row>
    <row r="8" spans="1:3" ht="24" customHeight="1" thickBot="1" x14ac:dyDescent="0.35">
      <c r="A8" s="513" t="str">
        <f>'KV_1.1.sz.mell.'!A8</f>
        <v>Sor-
szám</v>
      </c>
      <c r="B8" s="304" t="str">
        <f>'KV_1.1.sz.mell.'!B8</f>
        <v>Bevételi jogcím</v>
      </c>
      <c r="C8" s="420" t="str">
        <f>'KV_1.1.sz.mell.'!C8</f>
        <v>2025. évi előirányzat</v>
      </c>
    </row>
    <row r="9" spans="1:3" s="16" customFormat="1" ht="12" customHeight="1" thickBot="1" x14ac:dyDescent="0.25">
      <c r="A9" s="415"/>
      <c r="B9" s="284" t="str">
        <f>'KV_1.1.sz.mell.'!B9</f>
        <v>A</v>
      </c>
      <c r="C9" s="285" t="str">
        <f>'KV_1.1.sz.mell.'!C9</f>
        <v>B</v>
      </c>
    </row>
    <row r="10" spans="1:3" s="1" customFormat="1" ht="12" customHeight="1" thickBot="1" x14ac:dyDescent="0.3">
      <c r="A10" s="374">
        <f>'KV_1.1.sz.mell.'!A10</f>
        <v>1</v>
      </c>
      <c r="B10" s="324" t="str">
        <f>'KV_1.1.sz.mell.'!B10</f>
        <v>Működési célú támogatások államháztartáson belülről (10+…+11+…+14)</v>
      </c>
      <c r="C10" s="177">
        <f>C19+C20+C21+C22+C23</f>
        <v>0</v>
      </c>
    </row>
    <row r="11" spans="1:3" s="1" customFormat="1" ht="12" customHeight="1" x14ac:dyDescent="0.25">
      <c r="A11" s="371" t="str">
        <f>'KV_1.1.sz.mell.'!A11</f>
        <v>2</v>
      </c>
      <c r="B11" s="325" t="str">
        <f>'KV_1.1.sz.mell.'!B11</f>
        <v>Helyi önkormányzatok működésének általános támogatása</v>
      </c>
      <c r="C11" s="180"/>
    </row>
    <row r="12" spans="1:3" s="1" customFormat="1" ht="12" customHeight="1" x14ac:dyDescent="0.25">
      <c r="A12" s="371" t="str">
        <f>'KV_1.1.sz.mell.'!A12</f>
        <v>3</v>
      </c>
      <c r="B12" s="325" t="str">
        <f>'KV_1.1.sz.mell.'!B12</f>
        <v>Önkormányzatok egyes köznevelési feladatainak támogatása</v>
      </c>
      <c r="C12" s="180"/>
    </row>
    <row r="13" spans="1:3" s="1" customFormat="1" ht="12" customHeight="1" x14ac:dyDescent="0.25">
      <c r="A13" s="371" t="str">
        <f>'KV_1.1.sz.mell.'!A13</f>
        <v>4</v>
      </c>
      <c r="B13" s="325" t="str">
        <f>'KV_1.1.sz.mell.'!B13</f>
        <v>Önkormányzatok szociális és gyermekjóléti feladatainak támogatása</v>
      </c>
      <c r="C13" s="180"/>
    </row>
    <row r="14" spans="1:3" s="1" customFormat="1" ht="12" customHeight="1" x14ac:dyDescent="0.25">
      <c r="A14" s="371" t="str">
        <f>'KV_1.1.sz.mell.'!A14</f>
        <v>5</v>
      </c>
      <c r="B14" s="325" t="str">
        <f>'KV_1.1.sz.mell.'!B14</f>
        <v>Önkormányzatok gyermekétkeztetési feladatainak támogatása</v>
      </c>
      <c r="C14" s="180"/>
    </row>
    <row r="15" spans="1:3" s="1" customFormat="1" ht="12" customHeight="1" x14ac:dyDescent="0.25">
      <c r="A15" s="371" t="str">
        <f>'KV_1.1.sz.mell.'!A15</f>
        <v>6</v>
      </c>
      <c r="B15" s="325" t="str">
        <f>'KV_1.1.sz.mell.'!B15</f>
        <v>Önkormányzatok kulturális feladatainak támogatása</v>
      </c>
      <c r="C15" s="180"/>
    </row>
    <row r="16" spans="1:3" s="1" customFormat="1" ht="12" customHeight="1" x14ac:dyDescent="0.25">
      <c r="A16" s="371" t="str">
        <f>'KV_1.1.sz.mell.'!A16</f>
        <v>7</v>
      </c>
      <c r="B16" s="325" t="str">
        <f>'KV_1.1.sz.mell.'!B16</f>
        <v xml:space="preserve">Működési célú kvi támogatások és kiegészítő támogatások </v>
      </c>
      <c r="C16" s="180"/>
    </row>
    <row r="17" spans="1:3" s="1" customFormat="1" ht="12" customHeight="1" x14ac:dyDescent="0.25">
      <c r="A17" s="371" t="str">
        <f>'KV_1.1.sz.mell.'!A17</f>
        <v>8</v>
      </c>
      <c r="B17" s="325" t="str">
        <f>'KV_1.1.sz.mell.'!B17</f>
        <v>Elszámolásból származó bevételek</v>
      </c>
      <c r="C17" s="180"/>
    </row>
    <row r="18" spans="1:3" s="1" customFormat="1" ht="12" customHeight="1" x14ac:dyDescent="0.25">
      <c r="A18" s="371" t="str">
        <f>'KV_1.1.sz.mell.'!A18</f>
        <v>9</v>
      </c>
      <c r="B18" s="325" t="str">
        <f>'KV_1.1.sz.mell.'!B18</f>
        <v>Elvonások és befizetések bevételei</v>
      </c>
      <c r="C18" s="514"/>
    </row>
    <row r="19" spans="1:3" s="1" customFormat="1" ht="12" customHeight="1" x14ac:dyDescent="0.25">
      <c r="A19" s="371" t="str">
        <f>'KV_1.1.sz.mell.'!A19</f>
        <v>10</v>
      </c>
      <c r="B19" s="325" t="str">
        <f>'KV_1.1.sz.mell.'!B19</f>
        <v>Önkormányzat működési támogatásai (2+…+.9)</v>
      </c>
      <c r="C19" s="386">
        <f>SUM(C11:C18)</f>
        <v>0</v>
      </c>
    </row>
    <row r="20" spans="1:3" s="1" customFormat="1" ht="12" customHeight="1" x14ac:dyDescent="0.25">
      <c r="A20" s="371" t="str">
        <f>'KV_1.1.sz.mell.'!A20</f>
        <v>11</v>
      </c>
      <c r="B20" s="325" t="str">
        <f>'KV_1.1.sz.mell.'!B20</f>
        <v xml:space="preserve">Működési célú garancia- és kezességvállalásból megtérülések </v>
      </c>
      <c r="C20" s="180"/>
    </row>
    <row r="21" spans="1:3" s="1" customFormat="1" ht="12" customHeight="1" x14ac:dyDescent="0.25">
      <c r="A21" s="371" t="str">
        <f>'KV_1.1.sz.mell.'!A21</f>
        <v>12</v>
      </c>
      <c r="B21" s="325" t="str">
        <f>'KV_1.1.sz.mell.'!B21</f>
        <v xml:space="preserve">Működési célú visszatérítendő támogatások, kölcsönök visszatérülése </v>
      </c>
      <c r="C21" s="180"/>
    </row>
    <row r="22" spans="1:3" s="1" customFormat="1" ht="12" customHeight="1" x14ac:dyDescent="0.25">
      <c r="A22" s="371" t="str">
        <f>'KV_1.1.sz.mell.'!A22</f>
        <v>13</v>
      </c>
      <c r="B22" s="325" t="str">
        <f>'KV_1.1.sz.mell.'!B22</f>
        <v>Működési célú visszatérítendő támogatások, kölcsönök igénybevétele</v>
      </c>
      <c r="C22" s="180"/>
    </row>
    <row r="23" spans="1:3" s="1" customFormat="1" ht="12" customHeight="1" x14ac:dyDescent="0.25">
      <c r="A23" s="371" t="str">
        <f>'KV_1.1.sz.mell.'!A23</f>
        <v>14</v>
      </c>
      <c r="B23" s="325" t="str">
        <f>'KV_1.1.sz.mell.'!B23</f>
        <v xml:space="preserve">Egyéb működési célú támogatások bevételei </v>
      </c>
      <c r="C23" s="180"/>
    </row>
    <row r="24" spans="1:3" s="1" customFormat="1" ht="12" customHeight="1" thickBot="1" x14ac:dyDescent="0.3">
      <c r="A24" s="371" t="str">
        <f>'KV_1.1.sz.mell.'!A24</f>
        <v>15</v>
      </c>
      <c r="B24" s="325" t="str">
        <f>'KV_1.1.sz.mell.'!B24</f>
        <v>14-ből EU-s támogatás</v>
      </c>
      <c r="C24" s="180"/>
    </row>
    <row r="25" spans="1:3" s="1" customFormat="1" ht="12" customHeight="1" thickBot="1" x14ac:dyDescent="0.3">
      <c r="A25" s="374">
        <f>'KV_1.1.sz.mell.'!A25</f>
        <v>16</v>
      </c>
      <c r="B25" s="324" t="str">
        <f>'KV_1.1.sz.mell.'!B25</f>
        <v>Felhalmozási célú támogatások államháztartáson belülről (17+…+21)</v>
      </c>
      <c r="C25" s="177">
        <f>+C26+C27+C28+C29+C30</f>
        <v>103876675</v>
      </c>
    </row>
    <row r="26" spans="1:3" s="1" customFormat="1" ht="12" customHeight="1" x14ac:dyDescent="0.25">
      <c r="A26" s="371" t="str">
        <f>'KV_1.1.sz.mell.'!A26</f>
        <v>17</v>
      </c>
      <c r="B26" s="325" t="str">
        <f>'KV_1.1.sz.mell.'!B26</f>
        <v>Felhalmozási célú önkormányzati támogatások</v>
      </c>
      <c r="C26" s="180"/>
    </row>
    <row r="27" spans="1:3" s="1" customFormat="1" ht="12" customHeight="1" x14ac:dyDescent="0.25">
      <c r="A27" s="371" t="str">
        <f>'KV_1.1.sz.mell.'!A27</f>
        <v>18</v>
      </c>
      <c r="B27" s="325" t="str">
        <f>'KV_1.1.sz.mell.'!B27</f>
        <v>Felhalmozási célú garancia- és kezességvállalásból megtérülések</v>
      </c>
      <c r="C27" s="179"/>
    </row>
    <row r="28" spans="1:3" s="1" customFormat="1" ht="12" customHeight="1" x14ac:dyDescent="0.25">
      <c r="A28" s="371" t="str">
        <f>'KV_1.1.sz.mell.'!A28</f>
        <v>19</v>
      </c>
      <c r="B28" s="325" t="str">
        <f>'KV_1.1.sz.mell.'!B28</f>
        <v>Felhalmozási célú visszatérítendő támogatások, kölcsönök visszatérülése</v>
      </c>
      <c r="C28" s="179"/>
    </row>
    <row r="29" spans="1:3" s="1" customFormat="1" ht="12" customHeight="1" x14ac:dyDescent="0.25">
      <c r="A29" s="371" t="str">
        <f>'KV_1.1.sz.mell.'!A29</f>
        <v>20</v>
      </c>
      <c r="B29" s="325" t="str">
        <f>'KV_1.1.sz.mell.'!B29</f>
        <v>Felhalmozási célú visszatérítendő támogatások, kölcsönök igénybevétele</v>
      </c>
      <c r="C29" s="179"/>
    </row>
    <row r="30" spans="1:3" s="1" customFormat="1" ht="12" customHeight="1" x14ac:dyDescent="0.25">
      <c r="A30" s="371" t="str">
        <f>'KV_1.1.sz.mell.'!A30</f>
        <v>21</v>
      </c>
      <c r="B30" s="325" t="str">
        <f>'KV_1.1.sz.mell.'!B30</f>
        <v>Egyéb felhalmozási célú támogatások bevételei</v>
      </c>
      <c r="C30" s="179">
        <v>103876675</v>
      </c>
    </row>
    <row r="31" spans="1:3" s="281" customFormat="1" ht="12" customHeight="1" thickBot="1" x14ac:dyDescent="0.3">
      <c r="A31" s="371" t="str">
        <f>'KV_1.1.sz.mell.'!A31</f>
        <v>22</v>
      </c>
      <c r="B31" s="325" t="str">
        <f>'KV_1.1.sz.mell.'!B31</f>
        <v xml:space="preserve">   21-ből EU-s támogatás</v>
      </c>
      <c r="C31" s="179">
        <v>103876675</v>
      </c>
    </row>
    <row r="32" spans="1:3" s="1" customFormat="1" ht="12" customHeight="1" thickBot="1" x14ac:dyDescent="0.3">
      <c r="A32" s="374">
        <f>'KV_1.1.sz.mell.'!A32</f>
        <v>23</v>
      </c>
      <c r="B32" s="324" t="str">
        <f>'KV_1.1.sz.mell.'!B32</f>
        <v>Közhatalmi bevételek (24+…+30)</v>
      </c>
      <c r="C32" s="183">
        <f>SUM(C33:C39)</f>
        <v>52800000</v>
      </c>
    </row>
    <row r="33" spans="1:3" s="1" customFormat="1" ht="12" customHeight="1" x14ac:dyDescent="0.25">
      <c r="A33" s="371" t="str">
        <f>'KV_1.1.sz.mell.'!A33</f>
        <v>24</v>
      </c>
      <c r="B33" s="325" t="str">
        <f>'KV_1.1.sz.mell.'!B33</f>
        <v>Építményadó</v>
      </c>
      <c r="C33" s="180">
        <v>200000</v>
      </c>
    </row>
    <row r="34" spans="1:3" s="1" customFormat="1" ht="12" customHeight="1" x14ac:dyDescent="0.25">
      <c r="A34" s="371" t="str">
        <f>'KV_1.1.sz.mell.'!A34</f>
        <v>25</v>
      </c>
      <c r="B34" s="325" t="str">
        <f>'KV_1.1.sz.mell.'!B34</f>
        <v>Magánszemélyek kommunális adója</v>
      </c>
      <c r="C34" s="179">
        <v>2500000</v>
      </c>
    </row>
    <row r="35" spans="1:3" s="1" customFormat="1" ht="12" customHeight="1" x14ac:dyDescent="0.25">
      <c r="A35" s="371" t="str">
        <f>'KV_1.1.sz.mell.'!A35</f>
        <v>26</v>
      </c>
      <c r="B35" s="325" t="str">
        <f>'KV_1.1.sz.mell.'!B35</f>
        <v>Iparűzési adó</v>
      </c>
      <c r="C35" s="179">
        <v>50000000</v>
      </c>
    </row>
    <row r="36" spans="1:3" s="1" customFormat="1" ht="12" customHeight="1" x14ac:dyDescent="0.25">
      <c r="A36" s="371" t="str">
        <f>'KV_1.1.sz.mell.'!A36</f>
        <v>27</v>
      </c>
      <c r="B36" s="325" t="str">
        <f>'KV_1.1.sz.mell.'!B36</f>
        <v xml:space="preserve">Talajterhelési díj </v>
      </c>
      <c r="C36" s="179"/>
    </row>
    <row r="37" spans="1:3" s="1" customFormat="1" ht="12" customHeight="1" x14ac:dyDescent="0.25">
      <c r="A37" s="371" t="str">
        <f>'KV_1.1.sz.mell.'!A37</f>
        <v>28</v>
      </c>
      <c r="B37" s="325" t="str">
        <f>'KV_1.1.sz.mell.'!B37</f>
        <v>Gépjárműadó</v>
      </c>
      <c r="C37" s="179"/>
    </row>
    <row r="38" spans="1:3" s="1" customFormat="1" ht="12" customHeight="1" x14ac:dyDescent="0.25">
      <c r="A38" s="371" t="str">
        <f>'KV_1.1.sz.mell.'!A38</f>
        <v>29</v>
      </c>
      <c r="B38" s="325" t="str">
        <f>'KV_1.1.sz.mell.'!B38</f>
        <v>Telekadó</v>
      </c>
      <c r="C38" s="179"/>
    </row>
    <row r="39" spans="1:3" s="1" customFormat="1" ht="12" customHeight="1" thickBot="1" x14ac:dyDescent="0.3">
      <c r="A39" s="371" t="str">
        <f>'KV_1.1.sz.mell.'!A39</f>
        <v>30</v>
      </c>
      <c r="B39" s="325" t="str">
        <f>'KV_1.1.sz.mell.'!B39</f>
        <v>Egyéb közhatalmi bevételek</v>
      </c>
      <c r="C39" s="181">
        <v>100000</v>
      </c>
    </row>
    <row r="40" spans="1:3" s="1" customFormat="1" ht="12" customHeight="1" thickBot="1" x14ac:dyDescent="0.3">
      <c r="A40" s="374">
        <f>'KV_1.1.sz.mell.'!A40</f>
        <v>31</v>
      </c>
      <c r="B40" s="324" t="str">
        <f>'KV_1.1.sz.mell.'!B40</f>
        <v>Működési bevételek (32+…+ 42)</v>
      </c>
      <c r="C40" s="177">
        <f>SUM(C41:C51)</f>
        <v>0</v>
      </c>
    </row>
    <row r="41" spans="1:3" s="1" customFormat="1" ht="12" customHeight="1" x14ac:dyDescent="0.25">
      <c r="A41" s="371" t="str">
        <f>'KV_1.1.sz.mell.'!A41</f>
        <v>32</v>
      </c>
      <c r="B41" s="325" t="str">
        <f>'KV_1.1.sz.mell.'!B41</f>
        <v>Készletértékesítés ellenértéke</v>
      </c>
      <c r="C41" s="180"/>
    </row>
    <row r="42" spans="1:3" s="1" customFormat="1" ht="12" customHeight="1" x14ac:dyDescent="0.25">
      <c r="A42" s="371" t="str">
        <f>'KV_1.1.sz.mell.'!A42</f>
        <v>33</v>
      </c>
      <c r="B42" s="325" t="str">
        <f>'KV_1.1.sz.mell.'!B42</f>
        <v>Szolgáltatások ellenértéke</v>
      </c>
      <c r="C42" s="179"/>
    </row>
    <row r="43" spans="1:3" s="1" customFormat="1" ht="12" customHeight="1" x14ac:dyDescent="0.25">
      <c r="A43" s="371" t="str">
        <f>'KV_1.1.sz.mell.'!A43</f>
        <v>34</v>
      </c>
      <c r="B43" s="325" t="str">
        <f>'KV_1.1.sz.mell.'!B43</f>
        <v>Közvetített szolgáltatások értéke</v>
      </c>
      <c r="C43" s="179"/>
    </row>
    <row r="44" spans="1:3" s="1" customFormat="1" ht="12" customHeight="1" x14ac:dyDescent="0.25">
      <c r="A44" s="371" t="str">
        <f>'KV_1.1.sz.mell.'!A44</f>
        <v>35</v>
      </c>
      <c r="B44" s="325" t="str">
        <f>'KV_1.1.sz.mell.'!B44</f>
        <v>Tulajdonosi bevételek</v>
      </c>
      <c r="C44" s="179"/>
    </row>
    <row r="45" spans="1:3" s="1" customFormat="1" ht="12" customHeight="1" x14ac:dyDescent="0.25">
      <c r="A45" s="371" t="str">
        <f>'KV_1.1.sz.mell.'!A45</f>
        <v>36</v>
      </c>
      <c r="B45" s="325" t="str">
        <f>'KV_1.1.sz.mell.'!B45</f>
        <v>Ellátási díjak</v>
      </c>
      <c r="C45" s="179"/>
    </row>
    <row r="46" spans="1:3" s="1" customFormat="1" ht="12" customHeight="1" x14ac:dyDescent="0.25">
      <c r="A46" s="371" t="str">
        <f>'KV_1.1.sz.mell.'!A46</f>
        <v>37</v>
      </c>
      <c r="B46" s="325" t="str">
        <f>'KV_1.1.sz.mell.'!B46</f>
        <v xml:space="preserve">Kiszámlázott általános forgalmi adó </v>
      </c>
      <c r="C46" s="179"/>
    </row>
    <row r="47" spans="1:3" s="1" customFormat="1" ht="12" customHeight="1" x14ac:dyDescent="0.25">
      <c r="A47" s="371" t="str">
        <f>'KV_1.1.sz.mell.'!A47</f>
        <v>38</v>
      </c>
      <c r="B47" s="325" t="str">
        <f>'KV_1.1.sz.mell.'!B47</f>
        <v>Általános forgalmi adó visszatérítése</v>
      </c>
      <c r="C47" s="179"/>
    </row>
    <row r="48" spans="1:3" s="1" customFormat="1" ht="12" customHeight="1" x14ac:dyDescent="0.25">
      <c r="A48" s="371" t="str">
        <f>'KV_1.1.sz.mell.'!A48</f>
        <v>39</v>
      </c>
      <c r="B48" s="325" t="str">
        <f>'KV_1.1.sz.mell.'!B48</f>
        <v>Kamatbevételek és más nyereségjellegű bevételek</v>
      </c>
      <c r="C48" s="179"/>
    </row>
    <row r="49" spans="1:3" s="1" customFormat="1" ht="12" customHeight="1" x14ac:dyDescent="0.25">
      <c r="A49" s="371" t="str">
        <f>'KV_1.1.sz.mell.'!A49</f>
        <v>40</v>
      </c>
      <c r="B49" s="325" t="str">
        <f>'KV_1.1.sz.mell.'!B49</f>
        <v>Egyéb pénzügyi műveletek bevételei</v>
      </c>
      <c r="C49" s="182"/>
    </row>
    <row r="50" spans="1:3" s="1" customFormat="1" ht="12" customHeight="1" x14ac:dyDescent="0.25">
      <c r="A50" s="371" t="str">
        <f>'KV_1.1.sz.mell.'!A50</f>
        <v>41</v>
      </c>
      <c r="B50" s="325" t="str">
        <f>'KV_1.1.sz.mell.'!B50</f>
        <v>Biztosító által fizetett kártérítés</v>
      </c>
      <c r="C50" s="222"/>
    </row>
    <row r="51" spans="1:3" s="1" customFormat="1" ht="12" customHeight="1" thickBot="1" x14ac:dyDescent="0.3">
      <c r="A51" s="371" t="str">
        <f>'KV_1.1.sz.mell.'!A51</f>
        <v>42</v>
      </c>
      <c r="B51" s="325" t="str">
        <f>'KV_1.1.sz.mell.'!B51</f>
        <v>Egyéb működési bevételek</v>
      </c>
      <c r="C51" s="222"/>
    </row>
    <row r="52" spans="1:3" s="1" customFormat="1" ht="12" customHeight="1" thickBot="1" x14ac:dyDescent="0.3">
      <c r="A52" s="374">
        <f>'KV_1.1.sz.mell.'!A52</f>
        <v>43</v>
      </c>
      <c r="B52" s="324" t="str">
        <f>'KV_1.1.sz.mell.'!B52</f>
        <v>Felhalmozási bevételek (44+…+48)</v>
      </c>
      <c r="C52" s="177">
        <f>SUM(C53:C57)</f>
        <v>0</v>
      </c>
    </row>
    <row r="53" spans="1:3" s="1" customFormat="1" ht="12" customHeight="1" x14ac:dyDescent="0.25">
      <c r="A53" s="371" t="str">
        <f>'KV_1.1.sz.mell.'!A53</f>
        <v>44</v>
      </c>
      <c r="B53" s="325" t="str">
        <f>'KV_1.1.sz.mell.'!B53</f>
        <v>Immateriális javak értékesítése</v>
      </c>
      <c r="C53" s="228"/>
    </row>
    <row r="54" spans="1:3" s="1" customFormat="1" ht="12" customHeight="1" x14ac:dyDescent="0.25">
      <c r="A54" s="371" t="str">
        <f>'KV_1.1.sz.mell.'!A54</f>
        <v>45</v>
      </c>
      <c r="B54" s="325" t="str">
        <f>'KV_1.1.sz.mell.'!B54</f>
        <v>Ingatlanok értékesítése</v>
      </c>
      <c r="C54" s="182"/>
    </row>
    <row r="55" spans="1:3" s="1" customFormat="1" ht="12" customHeight="1" x14ac:dyDescent="0.25">
      <c r="A55" s="371" t="str">
        <f>'KV_1.1.sz.mell.'!A55</f>
        <v>46</v>
      </c>
      <c r="B55" s="325" t="str">
        <f>'KV_1.1.sz.mell.'!B55</f>
        <v>Egyéb tárgyi eszközök értékesítése</v>
      </c>
      <c r="C55" s="182"/>
    </row>
    <row r="56" spans="1:3" s="1" customFormat="1" ht="12" customHeight="1" x14ac:dyDescent="0.25">
      <c r="A56" s="371" t="str">
        <f>'KV_1.1.sz.mell.'!A56</f>
        <v>47</v>
      </c>
      <c r="B56" s="325" t="str">
        <f>'KV_1.1.sz.mell.'!B56</f>
        <v>Részesedések értékesítése</v>
      </c>
      <c r="C56" s="182"/>
    </row>
    <row r="57" spans="1:3" s="1" customFormat="1" ht="12" customHeight="1" thickBot="1" x14ac:dyDescent="0.3">
      <c r="A57" s="371" t="str">
        <f>'KV_1.1.sz.mell.'!A57</f>
        <v>48</v>
      </c>
      <c r="B57" s="325" t="str">
        <f>'KV_1.1.sz.mell.'!B57</f>
        <v>Részesedések megszűnéséhez kapcsolódó bevételek</v>
      </c>
      <c r="C57" s="222"/>
    </row>
    <row r="58" spans="1:3" s="1" customFormat="1" ht="12" customHeight="1" thickBot="1" x14ac:dyDescent="0.3">
      <c r="A58" s="374">
        <f>'KV_1.1.sz.mell.'!A58</f>
        <v>49</v>
      </c>
      <c r="B58" s="324" t="str">
        <f>'KV_1.1.sz.mell.'!B58</f>
        <v>Működési célú átvett pénzeszközök (50+ … + 52)</v>
      </c>
      <c r="C58" s="177">
        <f>SUM(C59:C61)</f>
        <v>0</v>
      </c>
    </row>
    <row r="59" spans="1:3" s="1" customFormat="1" ht="12" customHeight="1" x14ac:dyDescent="0.25">
      <c r="A59" s="371" t="str">
        <f>'KV_1.1.sz.mell.'!A59</f>
        <v>50</v>
      </c>
      <c r="B59" s="325" t="str">
        <f>'KV_1.1.sz.mell.'!B59</f>
        <v>Működési célú garancia- és kezességvállalásból megtérülések ÁH-n kívülről</v>
      </c>
      <c r="C59" s="180"/>
    </row>
    <row r="60" spans="1:3" s="1" customFormat="1" ht="12" customHeight="1" x14ac:dyDescent="0.25">
      <c r="A60" s="371" t="str">
        <f>'KV_1.1.sz.mell.'!A60</f>
        <v>51</v>
      </c>
      <c r="B60" s="325" t="str">
        <f>'KV_1.1.sz.mell.'!B60</f>
        <v>Működési célú visszatérítendő támogatások, kölcsönök visszatér. ÁH-n kívülről</v>
      </c>
      <c r="C60" s="179"/>
    </row>
    <row r="61" spans="1:3" s="1" customFormat="1" ht="12" customHeight="1" x14ac:dyDescent="0.25">
      <c r="A61" s="371" t="str">
        <f>'KV_1.1.sz.mell.'!A61</f>
        <v>52</v>
      </c>
      <c r="B61" s="325" t="str">
        <f>'KV_1.1.sz.mell.'!B61</f>
        <v>Egyéb működési célú átvett pénzeszköz</v>
      </c>
      <c r="C61" s="179"/>
    </row>
    <row r="62" spans="1:3" s="1" customFormat="1" ht="12" customHeight="1" thickBot="1" x14ac:dyDescent="0.3">
      <c r="A62" s="371" t="str">
        <f>'KV_1.1.sz.mell.'!A62</f>
        <v>53</v>
      </c>
      <c r="B62" s="325" t="str">
        <f>'KV_1.1.sz.mell.'!B62</f>
        <v xml:space="preserve">  52-ből EU-s támogatás (közvetlen)</v>
      </c>
      <c r="C62" s="181"/>
    </row>
    <row r="63" spans="1:3" s="1" customFormat="1" ht="12" customHeight="1" thickBot="1" x14ac:dyDescent="0.3">
      <c r="A63" s="374">
        <f>'KV_1.1.sz.mell.'!A63</f>
        <v>54</v>
      </c>
      <c r="B63" s="327" t="str">
        <f>'KV_1.1.sz.mell.'!B63</f>
        <v>Felhalmozási célú átvett pénzeszközök (55+…+57)</v>
      </c>
      <c r="C63" s="177">
        <f>SUM(C64:C66)</f>
        <v>0</v>
      </c>
    </row>
    <row r="64" spans="1:3" s="1" customFormat="1" ht="12" customHeight="1" x14ac:dyDescent="0.25">
      <c r="A64" s="371" t="str">
        <f>'KV_1.1.sz.mell.'!A64</f>
        <v>55</v>
      </c>
      <c r="B64" s="325" t="str">
        <f>'KV_1.1.sz.mell.'!B64</f>
        <v>Felhalm. célú garancia- és kezességvállalásból megtérülések ÁH-n kívülről</v>
      </c>
      <c r="C64" s="182"/>
    </row>
    <row r="65" spans="1:3" s="1" customFormat="1" ht="12" customHeight="1" x14ac:dyDescent="0.25">
      <c r="A65" s="371" t="str">
        <f>'KV_1.1.sz.mell.'!A65</f>
        <v>56</v>
      </c>
      <c r="B65" s="325" t="str">
        <f>'KV_1.1.sz.mell.'!B65</f>
        <v>Felhalm. célú visszatérítendő támogatások, kölcsönök visszatér. ÁH-n kívülről</v>
      </c>
      <c r="C65" s="182"/>
    </row>
    <row r="66" spans="1:3" s="1" customFormat="1" ht="12" customHeight="1" x14ac:dyDescent="0.25">
      <c r="A66" s="371" t="str">
        <f>'KV_1.1.sz.mell.'!A66</f>
        <v>57</v>
      </c>
      <c r="B66" s="325" t="str">
        <f>'KV_1.1.sz.mell.'!B66</f>
        <v>Egyéb felhalmozási célú átvett pénzeszköz</v>
      </c>
      <c r="C66" s="182"/>
    </row>
    <row r="67" spans="1:3" s="1" customFormat="1" ht="12" customHeight="1" thickBot="1" x14ac:dyDescent="0.3">
      <c r="A67" s="371" t="str">
        <f>'KV_1.1.sz.mell.'!A67</f>
        <v>58</v>
      </c>
      <c r="B67" s="325" t="str">
        <f>'KV_1.1.sz.mell.'!B67</f>
        <v xml:space="preserve">  57-ből EU-s támogatás (közvetlen)</v>
      </c>
      <c r="C67" s="182"/>
    </row>
    <row r="68" spans="1:3" s="1" customFormat="1" ht="12" customHeight="1" thickBot="1" x14ac:dyDescent="0.3">
      <c r="A68" s="374">
        <f>'KV_1.1.sz.mell.'!A68</f>
        <v>59</v>
      </c>
      <c r="B68" s="324" t="str">
        <f>'KV_1.1.sz.mell.'!B68</f>
        <v>KÖLTSÉGVETÉSI BEVÉTELEK ÖSSZESEN: (1+16+23+31+43+49+54)</v>
      </c>
      <c r="C68" s="183">
        <f>+C10+C25+C32+C40+C52+C58+C63</f>
        <v>156676675</v>
      </c>
    </row>
    <row r="69" spans="1:3" s="1" customFormat="1" ht="12" customHeight="1" thickBot="1" x14ac:dyDescent="0.3">
      <c r="A69" s="375">
        <f>'KV_1.1.sz.mell.'!A69</f>
        <v>60</v>
      </c>
      <c r="B69" s="324" t="str">
        <f>'KV_1.1.sz.mell.'!B69</f>
        <v>Hitel-, kölcsönfelvétel államháztartáson kívülről  (61+…+63)</v>
      </c>
      <c r="C69" s="177">
        <f>SUM(C70:C72)</f>
        <v>0</v>
      </c>
    </row>
    <row r="70" spans="1:3" s="1" customFormat="1" ht="12" customHeight="1" x14ac:dyDescent="0.25">
      <c r="A70" s="371" t="str">
        <f>'KV_1.1.sz.mell.'!A70</f>
        <v>61</v>
      </c>
      <c r="B70" s="325" t="str">
        <f>'KV_1.1.sz.mell.'!B70</f>
        <v>Hosszú lejáratú  hitelek, kölcsönök felvétele</v>
      </c>
      <c r="C70" s="182"/>
    </row>
    <row r="71" spans="1:3" s="1" customFormat="1" ht="12" customHeight="1" x14ac:dyDescent="0.25">
      <c r="A71" s="371" t="str">
        <f>'KV_1.1.sz.mell.'!A71</f>
        <v>62</v>
      </c>
      <c r="B71" s="325" t="str">
        <f>'KV_1.1.sz.mell.'!B71</f>
        <v>Likviditási célú  hitelek, kölcsönök felvétele pénzügyi vállalkozástól</v>
      </c>
      <c r="C71" s="182"/>
    </row>
    <row r="72" spans="1:3" s="1" customFormat="1" ht="12" customHeight="1" thickBot="1" x14ac:dyDescent="0.3">
      <c r="A72" s="371" t="str">
        <f>'KV_1.1.sz.mell.'!A72</f>
        <v>63</v>
      </c>
      <c r="B72" s="325" t="str">
        <f>'KV_1.1.sz.mell.'!B72</f>
        <v>Rövid lejáratú  hitelek, kölcsönök felvétele pénzügyi vállalkozástól</v>
      </c>
      <c r="C72" s="182"/>
    </row>
    <row r="73" spans="1:3" s="1" customFormat="1" ht="12" customHeight="1" thickBot="1" x14ac:dyDescent="0.3">
      <c r="A73" s="375">
        <f>'KV_1.1.sz.mell.'!A73</f>
        <v>64</v>
      </c>
      <c r="B73" s="327" t="str">
        <f>'KV_1.1.sz.mell.'!B73</f>
        <v>Belföldi értékpapírok bevételei (65 +…+ 68)</v>
      </c>
      <c r="C73" s="177">
        <f>SUM(C74:C77)</f>
        <v>0</v>
      </c>
    </row>
    <row r="74" spans="1:3" s="1" customFormat="1" ht="12" customHeight="1" x14ac:dyDescent="0.25">
      <c r="A74" s="371" t="str">
        <f>'KV_1.1.sz.mell.'!A74</f>
        <v>65</v>
      </c>
      <c r="B74" s="325" t="str">
        <f>'KV_1.1.sz.mell.'!B74</f>
        <v>Forgatási célú belföldi értékpapírok beváltása,  értékesítése</v>
      </c>
      <c r="C74" s="182"/>
    </row>
    <row r="75" spans="1:3" s="1" customFormat="1" ht="12" customHeight="1" x14ac:dyDescent="0.25">
      <c r="A75" s="371" t="str">
        <f>'KV_1.1.sz.mell.'!A75</f>
        <v>66</v>
      </c>
      <c r="B75" s="325" t="str">
        <f>'KV_1.1.sz.mell.'!B75</f>
        <v>Éven belüli lejáratú belföldi értékpapírok kibocsátása</v>
      </c>
      <c r="C75" s="182"/>
    </row>
    <row r="76" spans="1:3" s="1" customFormat="1" ht="12" customHeight="1" x14ac:dyDescent="0.25">
      <c r="A76" s="371" t="str">
        <f>'KV_1.1.sz.mell.'!A76</f>
        <v>67</v>
      </c>
      <c r="B76" s="325" t="str">
        <f>'KV_1.1.sz.mell.'!B76</f>
        <v>Befektetési célú belföldi értékpapírok beváltása,  értékesítése</v>
      </c>
      <c r="C76" s="222"/>
    </row>
    <row r="77" spans="1:3" s="1" customFormat="1" ht="12" customHeight="1" thickBot="1" x14ac:dyDescent="0.3">
      <c r="A77" s="371" t="str">
        <f>'KV_1.1.sz.mell.'!A77</f>
        <v>68</v>
      </c>
      <c r="B77" s="325" t="str">
        <f>'KV_1.1.sz.mell.'!B77</f>
        <v>Éven túli lejáratú belföldi értékpapírok kibocsátása</v>
      </c>
      <c r="C77" s="286"/>
    </row>
    <row r="78" spans="1:3" s="1" customFormat="1" ht="12" customHeight="1" thickBot="1" x14ac:dyDescent="0.3">
      <c r="A78" s="375">
        <f>'KV_1.1.sz.mell.'!A78</f>
        <v>69</v>
      </c>
      <c r="B78" s="327" t="str">
        <f>'KV_1.1.sz.mell.'!B78</f>
        <v>Maradvány igénybevétele (70 + 71)</v>
      </c>
      <c r="C78" s="177">
        <f>SUM(C79:C80)</f>
        <v>0</v>
      </c>
    </row>
    <row r="79" spans="1:3" s="1" customFormat="1" ht="12" customHeight="1" thickBot="1" x14ac:dyDescent="0.3">
      <c r="A79" s="371" t="str">
        <f>'KV_1.1.sz.mell.'!A79</f>
        <v>70</v>
      </c>
      <c r="B79" s="397" t="str">
        <f>'KV_1.1.sz.mell.'!B79</f>
        <v>Előző év költségvetési maradványának igénybevétele</v>
      </c>
      <c r="C79" s="336"/>
    </row>
    <row r="80" spans="1:3" s="1" customFormat="1" ht="12" customHeight="1" thickBot="1" x14ac:dyDescent="0.3">
      <c r="A80" s="371" t="str">
        <f>'KV_1.1.sz.mell.'!A80</f>
        <v>71</v>
      </c>
      <c r="B80" s="397" t="str">
        <f>'KV_1.1.sz.mell.'!B80</f>
        <v>Előző év vállalkozási maradványának igénybevétele</v>
      </c>
      <c r="C80" s="286"/>
    </row>
    <row r="81" spans="1:12" s="1" customFormat="1" ht="12" customHeight="1" thickBot="1" x14ac:dyDescent="0.3">
      <c r="A81" s="375">
        <f>'KV_1.1.sz.mell.'!A81</f>
        <v>72</v>
      </c>
      <c r="B81" s="327" t="str">
        <f>'KV_1.1.sz.mell.'!B81</f>
        <v>Belföldi finanszírozás bevételei (73 + … + 75)</v>
      </c>
      <c r="C81" s="177">
        <f>SUM(C82:C84)</f>
        <v>0</v>
      </c>
    </row>
    <row r="82" spans="1:12" s="1" customFormat="1" ht="12" customHeight="1" x14ac:dyDescent="0.25">
      <c r="A82" s="371" t="str">
        <f>'KV_1.1.sz.mell.'!A82</f>
        <v>73</v>
      </c>
      <c r="B82" s="325" t="str">
        <f>'KV_1.1.sz.mell.'!B82</f>
        <v>Államháztartáson belüli megelőlegezések</v>
      </c>
      <c r="C82" s="182"/>
    </row>
    <row r="83" spans="1:12" s="1" customFormat="1" ht="12" customHeight="1" x14ac:dyDescent="0.25">
      <c r="A83" s="371" t="str">
        <f>'KV_1.1.sz.mell.'!A83</f>
        <v>74</v>
      </c>
      <c r="B83" s="325" t="str">
        <f>'KV_1.1.sz.mell.'!B83</f>
        <v>Államháztartáson belüli megelőlegezések törlesztése</v>
      </c>
      <c r="C83" s="182"/>
    </row>
    <row r="84" spans="1:12" s="1" customFormat="1" ht="12" customHeight="1" thickBot="1" x14ac:dyDescent="0.3">
      <c r="A84" s="372" t="str">
        <f>'KV_1.1.sz.mell.'!A84</f>
        <v>75</v>
      </c>
      <c r="B84" s="325" t="str">
        <f>'KV_1.1.sz.mell.'!B84</f>
        <v>Lekötött betétek megszüntetése</v>
      </c>
      <c r="C84" s="286"/>
    </row>
    <row r="85" spans="1:12" s="1" customFormat="1" ht="12" customHeight="1" thickBot="1" x14ac:dyDescent="0.3">
      <c r="A85" s="376" t="str">
        <f>'KV_1.1.sz.mell.'!A85</f>
        <v>76</v>
      </c>
      <c r="B85" s="327" t="str">
        <f>'KV_1.1.sz.mell.'!B85</f>
        <v>Külföldi finanszírozás bevételei (77+…+80)</v>
      </c>
      <c r="C85" s="177">
        <f>SUM(C86:C89)</f>
        <v>0</v>
      </c>
    </row>
    <row r="86" spans="1:12" s="1" customFormat="1" ht="12" customHeight="1" x14ac:dyDescent="0.25">
      <c r="A86" s="371" t="str">
        <f>'KV_1.1.sz.mell.'!A86</f>
        <v>77</v>
      </c>
      <c r="B86" s="325" t="str">
        <f>'KV_1.1.sz.mell.'!B86</f>
        <v>Forgatási célú külföldi értékpapírok beváltása,  értékesítése</v>
      </c>
      <c r="C86" s="182"/>
    </row>
    <row r="87" spans="1:12" s="1" customFormat="1" ht="12" customHeight="1" x14ac:dyDescent="0.25">
      <c r="A87" s="371" t="str">
        <f>'KV_1.1.sz.mell.'!A87</f>
        <v>78</v>
      </c>
      <c r="B87" s="325" t="str">
        <f>'KV_1.1.sz.mell.'!B87</f>
        <v>Befektetési célú külföldi értékpapírok beváltása,  értékesítése</v>
      </c>
      <c r="C87" s="182"/>
    </row>
    <row r="88" spans="1:12" s="1" customFormat="1" ht="12" customHeight="1" x14ac:dyDescent="0.25">
      <c r="A88" s="371" t="str">
        <f>'KV_1.1.sz.mell.'!A88</f>
        <v>79</v>
      </c>
      <c r="B88" s="325" t="str">
        <f>'KV_1.1.sz.mell.'!B88</f>
        <v>Külföldi értékpapírok kibocsátása</v>
      </c>
      <c r="C88" s="182"/>
      <c r="L88" s="511"/>
    </row>
    <row r="89" spans="1:12" s="1" customFormat="1" ht="12" customHeight="1" thickBot="1" x14ac:dyDescent="0.3">
      <c r="A89" s="372" t="str">
        <f>'KV_1.1.sz.mell.'!A89</f>
        <v>80</v>
      </c>
      <c r="B89" s="325" t="str">
        <f>'KV_1.1.sz.mell.'!B89</f>
        <v>Külföldi hitelek, kölcsönök felvétele</v>
      </c>
      <c r="C89" s="182"/>
    </row>
    <row r="90" spans="1:12" s="1" customFormat="1" ht="12" customHeight="1" thickBot="1" x14ac:dyDescent="0.3">
      <c r="A90" s="376" t="str">
        <f>'KV_1.1.sz.mell.'!A90</f>
        <v>81</v>
      </c>
      <c r="B90" s="327" t="str">
        <f>'KV_1.1.sz.mell.'!B90</f>
        <v>Váltóbevételek</v>
      </c>
      <c r="C90" s="229"/>
    </row>
    <row r="91" spans="1:12" s="1" customFormat="1" ht="13.5" customHeight="1" thickBot="1" x14ac:dyDescent="0.3">
      <c r="A91" s="377" t="str">
        <f>'KV_1.1.sz.mell.'!A91</f>
        <v>82</v>
      </c>
      <c r="B91" s="327" t="str">
        <f>'KV_1.1.sz.mell.'!B91</f>
        <v>Adóssághoz nem kapcsolódó származékos ügyletek bevételei</v>
      </c>
      <c r="C91" s="229"/>
    </row>
    <row r="92" spans="1:12" s="1" customFormat="1" ht="15.75" customHeight="1" thickBot="1" x14ac:dyDescent="0.3">
      <c r="A92" s="376" t="str">
        <f>'KV_1.1.sz.mell.'!A92</f>
        <v>83</v>
      </c>
      <c r="B92" s="327" t="str">
        <f>'KV_1.1.sz.mell.'!B92</f>
        <v>FINANSZÍROZÁSI BEVÉTELEK ÖSSZESEN: (60 + 64+69+72+76+81+82)</v>
      </c>
      <c r="C92" s="183">
        <f>+C69+C73+C78+C81+C85+C90+C91</f>
        <v>0</v>
      </c>
    </row>
    <row r="93" spans="1:12" s="1" customFormat="1" ht="16.5" customHeight="1" thickBot="1" x14ac:dyDescent="0.3">
      <c r="A93" s="387" t="str">
        <f>'KV_1.1.sz.mell.'!A93</f>
        <v>84</v>
      </c>
      <c r="B93" s="327" t="str">
        <f>'KV_1.1.sz.mell.'!B93</f>
        <v>KÖLTSÉGVETÉSI ÉS FINANSZÍROZÁSI BEVÉTELEK ÖSSZESEN: (59+83)</v>
      </c>
      <c r="C93" s="183">
        <f>+C68+C92</f>
        <v>156676675</v>
      </c>
    </row>
    <row r="94" spans="1:12" s="1" customFormat="1" ht="11.1" customHeight="1" x14ac:dyDescent="0.25">
      <c r="A94" s="416"/>
      <c r="B94" s="4"/>
      <c r="C94" s="184"/>
    </row>
    <row r="95" spans="1:12" ht="16.5" customHeight="1" x14ac:dyDescent="0.3">
      <c r="A95" s="674" t="str">
        <f>'KV_1.1.sz.mell.'!A95</f>
        <v>K I A D Á S O K</v>
      </c>
      <c r="B95" s="674"/>
      <c r="C95" s="674"/>
    </row>
    <row r="96" spans="1:12" ht="16.5" customHeight="1" thickBot="1" x14ac:dyDescent="0.35">
      <c r="A96" s="672"/>
      <c r="B96" s="672"/>
      <c r="C96" s="421" t="str">
        <f>'KV_1.1.sz.mell.'!C96</f>
        <v>Forintban!</v>
      </c>
    </row>
    <row r="97" spans="1:3" ht="27.75" customHeight="1" thickBot="1" x14ac:dyDescent="0.35">
      <c r="A97" s="512" t="str">
        <f>'KV_1.1.sz.mell.'!A97</f>
        <v>Sor-
szám</v>
      </c>
      <c r="B97" s="282" t="str">
        <f>'KV_1.1.sz.mell.'!B97</f>
        <v>Kiadási jogcímek</v>
      </c>
      <c r="C97" s="422" t="str">
        <f>'KV_1.1.sz.mell.'!C97</f>
        <v>2025. évi előirányzat</v>
      </c>
    </row>
    <row r="98" spans="1:3" s="16" customFormat="1" ht="12" customHeight="1" thickBot="1" x14ac:dyDescent="0.25">
      <c r="A98" s="417"/>
      <c r="B98" s="282" t="str">
        <f>'KV_1.1.sz.mell.'!B98</f>
        <v>A</v>
      </c>
      <c r="C98" s="283" t="str">
        <f>'KV_1.1.sz.mell.'!C98</f>
        <v>B</v>
      </c>
    </row>
    <row r="99" spans="1:3" ht="12" customHeight="1" thickBot="1" x14ac:dyDescent="0.35">
      <c r="A99" s="376">
        <f>'KV_1.1.sz.mell.'!A99</f>
        <v>1</v>
      </c>
      <c r="B99" s="9" t="str">
        <f>'KV_1.1.sz.mell.'!B99</f>
        <v xml:space="preserve">   Működési költségvetés kiadásai (2+…+6)</v>
      </c>
      <c r="C99" s="176">
        <f>C100+C101+C102+C103+C104</f>
        <v>3706350</v>
      </c>
    </row>
    <row r="100" spans="1:3" ht="12" customHeight="1" thickBot="1" x14ac:dyDescent="0.35">
      <c r="A100" s="373" t="str">
        <f>'KV_1.1.sz.mell.'!A100</f>
        <v>2</v>
      </c>
      <c r="B100" s="401" t="str">
        <f>'KV_1.1.sz.mell.'!B100</f>
        <v>Személyi  juttatások</v>
      </c>
      <c r="C100" s="178"/>
    </row>
    <row r="101" spans="1:3" ht="12" customHeight="1" x14ac:dyDescent="0.3">
      <c r="A101" s="371" t="str">
        <f>'KV_1.1.sz.mell.'!A101</f>
        <v>3</v>
      </c>
      <c r="B101" s="330" t="str">
        <f>'KV_1.1.sz.mell.'!B101</f>
        <v>Munkaadókat terhelő járulékok és szociális hozzájárulási adó</v>
      </c>
      <c r="C101" s="179"/>
    </row>
    <row r="102" spans="1:3" ht="12" customHeight="1" x14ac:dyDescent="0.3">
      <c r="A102" s="371" t="str">
        <f>'KV_1.1.sz.mell.'!A102</f>
        <v>4</v>
      </c>
      <c r="B102" s="331" t="str">
        <f>'KV_1.1.sz.mell.'!B102</f>
        <v>Dologi  kiadások</v>
      </c>
      <c r="C102" s="181">
        <v>1945000</v>
      </c>
    </row>
    <row r="103" spans="1:3" ht="12" customHeight="1" x14ac:dyDescent="0.3">
      <c r="A103" s="371" t="str">
        <f>'KV_1.1.sz.mell.'!A103</f>
        <v>5</v>
      </c>
      <c r="B103" s="331" t="str">
        <f>'KV_1.1.sz.mell.'!B103</f>
        <v>Ellátottak pénzbeli juttatásai</v>
      </c>
      <c r="C103" s="181"/>
    </row>
    <row r="104" spans="1:3" ht="12" customHeight="1" x14ac:dyDescent="0.3">
      <c r="A104" s="371" t="str">
        <f>'KV_1.1.sz.mell.'!A104</f>
        <v>6</v>
      </c>
      <c r="B104" s="331" t="str">
        <f>'KV_1.1.sz.mell.'!B104</f>
        <v>Egyéb működési célú kiadások</v>
      </c>
      <c r="C104" s="181">
        <f>SUM(C106:C117)</f>
        <v>1761350</v>
      </c>
    </row>
    <row r="105" spans="1:3" ht="12" customHeight="1" x14ac:dyDescent="0.3">
      <c r="A105" s="371" t="str">
        <f>'KV_1.1.sz.mell.'!A105</f>
        <v>7</v>
      </c>
      <c r="B105" s="331" t="str">
        <f>'KV_1.1.sz.mell.'!B105</f>
        <v xml:space="preserve">   - a 6-ból:       - Előző évi elszámolásból származó befizetések</v>
      </c>
      <c r="C105" s="181"/>
    </row>
    <row r="106" spans="1:3" ht="12" customHeight="1" x14ac:dyDescent="0.3">
      <c r="A106" s="371" t="str">
        <f>'KV_1.1.sz.mell.'!A106</f>
        <v>8</v>
      </c>
      <c r="B106" s="331" t="str">
        <f>'KV_1.1.sz.mell.'!B106</f>
        <v xml:space="preserve">   - Törvényi előíráson alapuló befizetések</v>
      </c>
      <c r="C106" s="181"/>
    </row>
    <row r="107" spans="1:3" ht="12" customHeight="1" x14ac:dyDescent="0.3">
      <c r="A107" s="371" t="str">
        <f>'KV_1.1.sz.mell.'!A107</f>
        <v>9</v>
      </c>
      <c r="B107" s="331" t="str">
        <f>'KV_1.1.sz.mell.'!B107</f>
        <v xml:space="preserve">   - Egyéb elvonások, befizetések</v>
      </c>
      <c r="C107" s="181"/>
    </row>
    <row r="108" spans="1:3" ht="12" customHeight="1" x14ac:dyDescent="0.3">
      <c r="A108" s="371" t="str">
        <f>'KV_1.1.sz.mell.'!A108</f>
        <v>10</v>
      </c>
      <c r="B108" s="331" t="str">
        <f>'KV_1.1.sz.mell.'!B108</f>
        <v xml:space="preserve">   - Garancia- és kezességvállalásból kifizetés ÁH-n belülre</v>
      </c>
      <c r="C108" s="181"/>
    </row>
    <row r="109" spans="1:3" ht="12" customHeight="1" x14ac:dyDescent="0.3">
      <c r="A109" s="371" t="str">
        <f>'KV_1.1.sz.mell.'!A109</f>
        <v>11</v>
      </c>
      <c r="B109" s="331" t="str">
        <f>'KV_1.1.sz.mell.'!B109</f>
        <v xml:space="preserve">   -Visszatérítendő támogatások, kölcsönök nyújtása ÁH-n belülre</v>
      </c>
      <c r="C109" s="181"/>
    </row>
    <row r="110" spans="1:3" ht="12" customHeight="1" x14ac:dyDescent="0.3">
      <c r="A110" s="371" t="str">
        <f>'KV_1.1.sz.mell.'!A110</f>
        <v>12</v>
      </c>
      <c r="B110" s="331" t="str">
        <f>'KV_1.1.sz.mell.'!B110</f>
        <v xml:space="preserve">   - Visszatérítendő támogatások, kölcsönök törlesztése ÁH-n belülre</v>
      </c>
      <c r="C110" s="181"/>
    </row>
    <row r="111" spans="1:3" ht="12" customHeight="1" x14ac:dyDescent="0.3">
      <c r="A111" s="371" t="str">
        <f>'KV_1.1.sz.mell.'!A111</f>
        <v>13</v>
      </c>
      <c r="B111" s="331" t="str">
        <f>'KV_1.1.sz.mell.'!B111</f>
        <v xml:space="preserve">   - Egyéb működési célú támogatások ÁH-n belülre</v>
      </c>
      <c r="C111" s="181"/>
    </row>
    <row r="112" spans="1:3" ht="12" customHeight="1" x14ac:dyDescent="0.3">
      <c r="A112" s="371" t="str">
        <f>'KV_1.1.sz.mell.'!A112</f>
        <v>14</v>
      </c>
      <c r="B112" s="331" t="str">
        <f>'KV_1.1.sz.mell.'!B112</f>
        <v xml:space="preserve">   - Garancia és kezességvállalásból kifizetés ÁH-n kívülre</v>
      </c>
      <c r="C112" s="181"/>
    </row>
    <row r="113" spans="1:3" ht="12" customHeight="1" x14ac:dyDescent="0.3">
      <c r="A113" s="371" t="str">
        <f>'KV_1.1.sz.mell.'!A113</f>
        <v>15</v>
      </c>
      <c r="B113" s="331" t="str">
        <f>'KV_1.1.sz.mell.'!B113</f>
        <v xml:space="preserve">   - Visszatérítendő támogatások, kölcsönök nyújtása ÁH-n kívülre</v>
      </c>
      <c r="C113" s="181"/>
    </row>
    <row r="114" spans="1:3" ht="12" customHeight="1" x14ac:dyDescent="0.3">
      <c r="A114" s="371" t="str">
        <f>'KV_1.1.sz.mell.'!A114</f>
        <v>16</v>
      </c>
      <c r="B114" s="331" t="str">
        <f>'KV_1.1.sz.mell.'!B114</f>
        <v xml:space="preserve">   - Árkiegészítések, ártámogatások</v>
      </c>
      <c r="C114" s="181"/>
    </row>
    <row r="115" spans="1:3" ht="12" customHeight="1" x14ac:dyDescent="0.3">
      <c r="A115" s="371" t="str">
        <f>'KV_1.1.sz.mell.'!A115</f>
        <v>17</v>
      </c>
      <c r="B115" s="331" t="str">
        <f>'KV_1.1.sz.mell.'!B115</f>
        <v xml:space="preserve">   - Kamattámogatások</v>
      </c>
      <c r="C115" s="181"/>
    </row>
    <row r="116" spans="1:3" ht="12" customHeight="1" x14ac:dyDescent="0.3">
      <c r="A116" s="371" t="str">
        <f>'KV_1.1.sz.mell.'!A116</f>
        <v>18</v>
      </c>
      <c r="B116" s="331" t="str">
        <f>'KV_1.1.sz.mell.'!B116</f>
        <v xml:space="preserve">   - Egyéb működési célú támogatások államháztartáson kívülre</v>
      </c>
      <c r="C116" s="181">
        <v>1761350</v>
      </c>
    </row>
    <row r="117" spans="1:3" ht="12" customHeight="1" x14ac:dyDescent="0.3">
      <c r="A117" s="371" t="str">
        <f>'KV_1.1.sz.mell.'!A117</f>
        <v>19</v>
      </c>
      <c r="B117" s="331" t="str">
        <f>'KV_1.1.sz.mell.'!B117</f>
        <v xml:space="preserve">   - Tartalékok</v>
      </c>
      <c r="C117" s="179"/>
    </row>
    <row r="118" spans="1:3" ht="12" customHeight="1" x14ac:dyDescent="0.3">
      <c r="A118" s="371" t="str">
        <f>'KV_1.1.sz.mell.'!A118</f>
        <v>20</v>
      </c>
      <c r="B118" s="331" t="str">
        <f>'KV_1.1.sz.mell.'!B118</f>
        <v xml:space="preserve">         - a 19-ből:             - Általános tartalék</v>
      </c>
      <c r="C118" s="179"/>
    </row>
    <row r="119" spans="1:3" ht="12" customHeight="1" thickBot="1" x14ac:dyDescent="0.35">
      <c r="A119" s="372" t="str">
        <f>'KV_1.1.sz.mell.'!A119</f>
        <v>21</v>
      </c>
      <c r="B119" s="383" t="str">
        <f>'KV_1.1.sz.mell.'!B119</f>
        <v xml:space="preserve">                                       - Céltartalék</v>
      </c>
      <c r="C119" s="185"/>
    </row>
    <row r="120" spans="1:3" ht="12" customHeight="1" thickBot="1" x14ac:dyDescent="0.35">
      <c r="A120" s="376" t="str">
        <f>'KV_1.1.sz.mell.'!A120</f>
        <v>22</v>
      </c>
      <c r="B120" s="244" t="str">
        <f>'KV_1.1.sz.mell.'!B120</f>
        <v xml:space="preserve">   Felhalmozási költségvetés kiadásai (23+25+27)</v>
      </c>
      <c r="C120" s="245">
        <f>+C121+C123+C125</f>
        <v>124715931</v>
      </c>
    </row>
    <row r="121" spans="1:3" ht="12" customHeight="1" x14ac:dyDescent="0.3">
      <c r="A121" s="371">
        <f>'KV_1.1.sz.mell.'!A121</f>
        <v>23</v>
      </c>
      <c r="B121" s="331" t="str">
        <f>'KV_1.1.sz.mell.'!B121</f>
        <v>Beruházások</v>
      </c>
      <c r="C121" s="180">
        <v>124715931</v>
      </c>
    </row>
    <row r="122" spans="1:3" ht="12" customHeight="1" x14ac:dyDescent="0.3">
      <c r="A122" s="371" t="str">
        <f>'KV_1.1.sz.mell.'!A122</f>
        <v>24</v>
      </c>
      <c r="B122" s="331" t="str">
        <f>'KV_1.1.sz.mell.'!B122</f>
        <v>23-ból EU-s forrásból megvalósuló beruházás</v>
      </c>
      <c r="C122" s="180">
        <v>123204931</v>
      </c>
    </row>
    <row r="123" spans="1:3" ht="12" customHeight="1" x14ac:dyDescent="0.3">
      <c r="A123" s="371" t="str">
        <f>'KV_1.1.sz.mell.'!A123</f>
        <v>25</v>
      </c>
      <c r="B123" s="331" t="str">
        <f>'KV_1.1.sz.mell.'!B123</f>
        <v>Felújítások</v>
      </c>
      <c r="C123" s="179"/>
    </row>
    <row r="124" spans="1:3" ht="12" customHeight="1" x14ac:dyDescent="0.3">
      <c r="A124" s="371" t="str">
        <f>'KV_1.1.sz.mell.'!A124</f>
        <v>26</v>
      </c>
      <c r="B124" s="331" t="str">
        <f>'KV_1.1.sz.mell.'!B124</f>
        <v>25-ből EU-s forrásból megvalósuló felújítás</v>
      </c>
      <c r="C124" s="154"/>
    </row>
    <row r="125" spans="1:3" ht="12" customHeight="1" x14ac:dyDescent="0.3">
      <c r="A125" s="371" t="str">
        <f>'KV_1.1.sz.mell.'!A125</f>
        <v>27</v>
      </c>
      <c r="B125" s="331" t="str">
        <f>'KV_1.1.sz.mell.'!B125</f>
        <v>Egyéb felhalmozási célú kiadások</v>
      </c>
      <c r="C125" s="154"/>
    </row>
    <row r="126" spans="1:3" ht="12" customHeight="1" x14ac:dyDescent="0.3">
      <c r="A126" s="371" t="str">
        <f>'KV_1.1.sz.mell.'!A126</f>
        <v>28</v>
      </c>
      <c r="B126" s="331" t="str">
        <f>'KV_1.1.sz.mell.'!B126</f>
        <v>27-ből           - Garancia- és kezességvállalásból kifizetés ÁH-n belülre</v>
      </c>
      <c r="C126" s="154"/>
    </row>
    <row r="127" spans="1:3" ht="12" customHeight="1" x14ac:dyDescent="0.3">
      <c r="A127" s="371" t="str">
        <f>'KV_1.1.sz.mell.'!A127</f>
        <v>29</v>
      </c>
      <c r="B127" s="331" t="str">
        <f>'KV_1.1.sz.mell.'!B127</f>
        <v xml:space="preserve">   - Visszatérítendő támogatások, kölcsönök nyújtása ÁH-n belülre</v>
      </c>
      <c r="C127" s="154"/>
    </row>
    <row r="128" spans="1:3" x14ac:dyDescent="0.3">
      <c r="A128" s="371" t="str">
        <f>'KV_1.1.sz.mell.'!A128</f>
        <v>30</v>
      </c>
      <c r="B128" s="331" t="str">
        <f>'KV_1.1.sz.mell.'!B128</f>
        <v xml:space="preserve">   - Visszatérítendő támogatások, kölcsönök törlesztése ÁH-n belülre</v>
      </c>
      <c r="C128" s="154"/>
    </row>
    <row r="129" spans="1:3" ht="12" customHeight="1" x14ac:dyDescent="0.3">
      <c r="A129" s="371" t="str">
        <f>'KV_1.1.sz.mell.'!A129</f>
        <v>31</v>
      </c>
      <c r="B129" s="331" t="str">
        <f>'KV_1.1.sz.mell.'!B129</f>
        <v xml:space="preserve">   - Egyéb felhalmozási célú támogatások ÁH-n belülre</v>
      </c>
      <c r="C129" s="154"/>
    </row>
    <row r="130" spans="1:3" ht="12" customHeight="1" x14ac:dyDescent="0.3">
      <c r="A130" s="371" t="str">
        <f>'KV_1.1.sz.mell.'!A130</f>
        <v>32</v>
      </c>
      <c r="B130" s="331" t="str">
        <f>'KV_1.1.sz.mell.'!B130</f>
        <v xml:space="preserve">   - Garancia- és kezességvállalásból kifizetés ÁH-n kívülre</v>
      </c>
      <c r="C130" s="154"/>
    </row>
    <row r="131" spans="1:3" ht="12" customHeight="1" x14ac:dyDescent="0.3">
      <c r="A131" s="371" t="str">
        <f>'KV_1.1.sz.mell.'!A131</f>
        <v>33</v>
      </c>
      <c r="B131" s="331" t="str">
        <f>'KV_1.1.sz.mell.'!B131</f>
        <v xml:space="preserve">   - Visszatérítendő támogatások, kölcsönök nyújtása ÁH-n kívülre</v>
      </c>
      <c r="C131" s="154"/>
    </row>
    <row r="132" spans="1:3" ht="12" customHeight="1" x14ac:dyDescent="0.3">
      <c r="A132" s="371" t="str">
        <f>'KV_1.1.sz.mell.'!A132</f>
        <v>34</v>
      </c>
      <c r="B132" s="331" t="str">
        <f>'KV_1.1.sz.mell.'!B132</f>
        <v xml:space="preserve">   - Lakástámogatás</v>
      </c>
      <c r="C132" s="154"/>
    </row>
    <row r="133" spans="1:3" ht="16.2" thickBot="1" x14ac:dyDescent="0.35">
      <c r="A133" s="371">
        <f>'KV_1.1.sz.mell.'!A133</f>
        <v>35</v>
      </c>
      <c r="B133" s="331" t="str">
        <f>'KV_1.1.sz.mell.'!B133</f>
        <v xml:space="preserve">   - Egyéb felhalmozási célú támogatások államháztartáson kívülre</v>
      </c>
      <c r="C133" s="155"/>
    </row>
    <row r="134" spans="1:3" ht="12" customHeight="1" thickBot="1" x14ac:dyDescent="0.35">
      <c r="A134" s="376">
        <f>'KV_1.1.sz.mell.'!A134</f>
        <v>36</v>
      </c>
      <c r="B134" s="81" t="str">
        <f>'KV_1.1.sz.mell.'!B134</f>
        <v>KÖLTSÉGVETÉSI KIADÁSOK ÖSSZESEN (1+22)</v>
      </c>
      <c r="C134" s="177">
        <f>+C99+C120</f>
        <v>128422281</v>
      </c>
    </row>
    <row r="135" spans="1:3" ht="12" customHeight="1" thickBot="1" x14ac:dyDescent="0.35">
      <c r="A135" s="376">
        <f>'KV_1.1.sz.mell.'!A135</f>
        <v>37</v>
      </c>
      <c r="B135" s="81" t="str">
        <f>'KV_1.1.sz.mell.'!B135</f>
        <v>Hitel-, kölcsöntörlesztés államháztartáson kívülre (38+ … + 40)</v>
      </c>
      <c r="C135" s="177">
        <f>+C136+C137+C138</f>
        <v>0</v>
      </c>
    </row>
    <row r="136" spans="1:3" ht="12" customHeight="1" x14ac:dyDescent="0.3">
      <c r="A136" s="371">
        <f>'KV_1.1.sz.mell.'!A136</f>
        <v>38</v>
      </c>
      <c r="B136" s="333" t="str">
        <f>'KV_1.1.sz.mell.'!B136</f>
        <v>Hosszú lejáratú hitelek, kölcsönök törlesztése pénzügyi vállalkozásnak</v>
      </c>
      <c r="C136" s="154"/>
    </row>
    <row r="137" spans="1:3" ht="12" customHeight="1" x14ac:dyDescent="0.3">
      <c r="A137" s="371" t="str">
        <f>'KV_1.1.sz.mell.'!A137</f>
        <v>39</v>
      </c>
      <c r="B137" s="333" t="str">
        <f>'KV_1.1.sz.mell.'!B137</f>
        <v>Likviditási célú hitelek, kölcsönök törlesztése pénzügyi vállalkozásnak</v>
      </c>
      <c r="C137" s="154"/>
    </row>
    <row r="138" spans="1:3" ht="12" customHeight="1" thickBot="1" x14ac:dyDescent="0.35">
      <c r="A138" s="371" t="str">
        <f>'KV_1.1.sz.mell.'!A138</f>
        <v>40</v>
      </c>
      <c r="B138" s="333" t="str">
        <f>'KV_1.1.sz.mell.'!B138</f>
        <v>Rövid lejáratú hitelek, kölcsönök törlesztése pénzügyi vállalkozásnak</v>
      </c>
      <c r="C138" s="154"/>
    </row>
    <row r="139" spans="1:3" ht="12" customHeight="1" thickBot="1" x14ac:dyDescent="0.35">
      <c r="A139" s="376">
        <f>'KV_1.1.sz.mell.'!A139</f>
        <v>41</v>
      </c>
      <c r="B139" s="81" t="str">
        <f>'KV_1.1.sz.mell.'!B139</f>
        <v>Belföldi értékpapírok kiadásai (42+ … + 47)</v>
      </c>
      <c r="C139" s="177">
        <f>SUM(C140:C145)</f>
        <v>0</v>
      </c>
    </row>
    <row r="140" spans="1:3" ht="12" customHeight="1" x14ac:dyDescent="0.3">
      <c r="A140" s="371">
        <f>'KV_1.1.sz.mell.'!A140</f>
        <v>42</v>
      </c>
      <c r="B140" s="334" t="str">
        <f>'KV_1.1.sz.mell.'!B140</f>
        <v>Forgatási célú belföldi értékpapírok vásárlása</v>
      </c>
      <c r="C140" s="154"/>
    </row>
    <row r="141" spans="1:3" ht="12" customHeight="1" x14ac:dyDescent="0.3">
      <c r="A141" s="371">
        <f>'KV_1.1.sz.mell.'!A141</f>
        <v>43</v>
      </c>
      <c r="B141" s="334" t="str">
        <f>'KV_1.1.sz.mell.'!B141</f>
        <v>Befektetési célú belföldi értékpapírok vásárlása</v>
      </c>
      <c r="C141" s="154"/>
    </row>
    <row r="142" spans="1:3" ht="12" customHeight="1" x14ac:dyDescent="0.3">
      <c r="A142" s="371" t="str">
        <f>'KV_1.1.sz.mell.'!A142</f>
        <v>44</v>
      </c>
      <c r="B142" s="334" t="str">
        <f>'KV_1.1.sz.mell.'!B142</f>
        <v>Kincstárjegyek beváltása</v>
      </c>
      <c r="C142" s="154"/>
    </row>
    <row r="143" spans="1:3" ht="12" customHeight="1" x14ac:dyDescent="0.3">
      <c r="A143" s="371" t="str">
        <f>'KV_1.1.sz.mell.'!A143</f>
        <v>45</v>
      </c>
      <c r="B143" s="334" t="str">
        <f>'KV_1.1.sz.mell.'!B143</f>
        <v>Éven belüli lejáratú belföldi értékpapírok beváltása</v>
      </c>
      <c r="C143" s="154"/>
    </row>
    <row r="144" spans="1:3" ht="12" customHeight="1" x14ac:dyDescent="0.3">
      <c r="A144" s="371" t="str">
        <f>'KV_1.1.sz.mell.'!A144</f>
        <v>46</v>
      </c>
      <c r="B144" s="334" t="str">
        <f>'KV_1.1.sz.mell.'!B144</f>
        <v>Belföldi kötvények beváltása</v>
      </c>
      <c r="C144" s="155"/>
    </row>
    <row r="145" spans="1:9" ht="12" customHeight="1" thickBot="1" x14ac:dyDescent="0.35">
      <c r="A145" s="473">
        <f>'KV_1.1.sz.mell.'!A145</f>
        <v>47</v>
      </c>
      <c r="B145" s="383" t="str">
        <f>'KV_1.1.sz.mell.'!B145</f>
        <v>Éven túli lejáratú belföldi értékpapírok beváltása</v>
      </c>
      <c r="C145" s="247"/>
    </row>
    <row r="146" spans="1:9" ht="12" customHeight="1" thickBot="1" x14ac:dyDescent="0.35">
      <c r="A146" s="376">
        <f>'KV_1.1.sz.mell.'!A146</f>
        <v>48</v>
      </c>
      <c r="B146" s="81" t="str">
        <f>'KV_1.1.sz.mell.'!B146</f>
        <v>Belföldi finanszírozás kiadásai (49+ … + 52)</v>
      </c>
      <c r="C146" s="183">
        <f>+C147+C148+C149+C150</f>
        <v>0</v>
      </c>
    </row>
    <row r="147" spans="1:9" ht="12" customHeight="1" x14ac:dyDescent="0.3">
      <c r="A147" s="371">
        <f>'KV_1.1.sz.mell.'!A147</f>
        <v>49</v>
      </c>
      <c r="B147" s="334" t="str">
        <f>'KV_1.1.sz.mell.'!B147</f>
        <v>Államháztartáson belüli megelőlegezések folyósítása</v>
      </c>
      <c r="C147" s="154"/>
    </row>
    <row r="148" spans="1:9" ht="12" customHeight="1" x14ac:dyDescent="0.3">
      <c r="A148" s="371" t="str">
        <f>'KV_1.1.sz.mell.'!A148</f>
        <v>50</v>
      </c>
      <c r="B148" s="334" t="str">
        <f>'KV_1.1.sz.mell.'!B148</f>
        <v>Államháztartáson belüli megelőlegezések visszafizetése</v>
      </c>
      <c r="C148" s="154"/>
    </row>
    <row r="149" spans="1:9" ht="12" customHeight="1" x14ac:dyDescent="0.3">
      <c r="A149" s="371" t="str">
        <f>'KV_1.1.sz.mell.'!A149</f>
        <v>51</v>
      </c>
      <c r="B149" s="334" t="str">
        <f>'KV_1.1.sz.mell.'!B149</f>
        <v>Pénzeszközök lekötött betétként elhelyezése</v>
      </c>
      <c r="C149" s="155"/>
    </row>
    <row r="150" spans="1:9" ht="12" customHeight="1" thickBot="1" x14ac:dyDescent="0.35">
      <c r="A150" s="372">
        <f>'KV_1.1.sz.mell.'!A150</f>
        <v>52</v>
      </c>
      <c r="B150" s="334" t="str">
        <f>'KV_1.1.sz.mell.'!B150</f>
        <v>Pénzügyi lízing kiadásai</v>
      </c>
      <c r="C150" s="247"/>
    </row>
    <row r="151" spans="1:9" ht="12" customHeight="1" thickBot="1" x14ac:dyDescent="0.35">
      <c r="A151" s="376">
        <f>'KV_1.1.sz.mell.'!A151</f>
        <v>53</v>
      </c>
      <c r="B151" s="81" t="str">
        <f>'KV_1.1.sz.mell.'!B151</f>
        <v>Külföldi finanszírozás kiadásai (54+ … + 58)</v>
      </c>
      <c r="C151" s="186">
        <f>SUM(C152:C156)</f>
        <v>0</v>
      </c>
    </row>
    <row r="152" spans="1:9" ht="12" customHeight="1" x14ac:dyDescent="0.3">
      <c r="A152" s="371">
        <f>'KV_1.1.sz.mell.'!A152</f>
        <v>54</v>
      </c>
      <c r="B152" s="334" t="str">
        <f>'KV_1.1.sz.mell.'!B152</f>
        <v>Forgatási célú külföldi értékpapírok vásárlása</v>
      </c>
      <c r="C152" s="154"/>
    </row>
    <row r="153" spans="1:9" ht="12" customHeight="1" x14ac:dyDescent="0.3">
      <c r="A153" s="371">
        <f>'KV_1.1.sz.mell.'!A153</f>
        <v>55</v>
      </c>
      <c r="B153" s="334" t="str">
        <f>'KV_1.1.sz.mell.'!B153</f>
        <v>Befektetési célú külföldi értékpapírok vásárlása</v>
      </c>
      <c r="C153" s="154"/>
    </row>
    <row r="154" spans="1:9" ht="12" customHeight="1" x14ac:dyDescent="0.3">
      <c r="A154" s="371" t="str">
        <f>'KV_1.1.sz.mell.'!A154</f>
        <v>56</v>
      </c>
      <c r="B154" s="334" t="str">
        <f>'KV_1.1.sz.mell.'!B154</f>
        <v>Külföldi értékpapírok beváltása</v>
      </c>
      <c r="C154" s="154"/>
    </row>
    <row r="155" spans="1:9" ht="12" customHeight="1" x14ac:dyDescent="0.3">
      <c r="A155" s="371" t="str">
        <f>'KV_1.1.sz.mell.'!A155</f>
        <v>57</v>
      </c>
      <c r="B155" s="334" t="str">
        <f>'KV_1.1.sz.mell.'!B155</f>
        <v>Hitelek, kölcsönök törlesztése külföldi kormányoknak nemz. szervezeteknek</v>
      </c>
      <c r="C155" s="154"/>
    </row>
    <row r="156" spans="1:9" ht="12" customHeight="1" thickBot="1" x14ac:dyDescent="0.35">
      <c r="A156" s="371" t="str">
        <f>'KV_1.1.sz.mell.'!A156</f>
        <v>58</v>
      </c>
      <c r="B156" s="334" t="str">
        <f>'KV_1.1.sz.mell.'!B156</f>
        <v>Hitelek, kölcsönök törlesztése külföldi pénzintézeteknek</v>
      </c>
      <c r="C156" s="154"/>
    </row>
    <row r="157" spans="1:9" ht="12" customHeight="1" thickBot="1" x14ac:dyDescent="0.35">
      <c r="A157" s="376">
        <f>'KV_1.1.sz.mell.'!A157</f>
        <v>59</v>
      </c>
      <c r="B157" s="81" t="str">
        <f>'KV_1.1.sz.mell.'!B157</f>
        <v>Adóssághoz nem kapcsolódó származékos ügyletek</v>
      </c>
      <c r="C157" s="246"/>
    </row>
    <row r="158" spans="1:9" ht="12" customHeight="1" thickBot="1" x14ac:dyDescent="0.35">
      <c r="A158" s="376">
        <f>'KV_1.1.sz.mell.'!A158</f>
        <v>60</v>
      </c>
      <c r="B158" s="81" t="str">
        <f>'KV_1.1.sz.mell.'!B158</f>
        <v>Váltókiadások</v>
      </c>
      <c r="C158" s="246"/>
    </row>
    <row r="159" spans="1:9" ht="15.15" customHeight="1" thickBot="1" x14ac:dyDescent="0.35">
      <c r="A159" s="376">
        <f>'KV_1.1.sz.mell.'!A159</f>
        <v>61</v>
      </c>
      <c r="B159" s="81" t="str">
        <f>'KV_1.1.sz.mell.'!B159</f>
        <v>FINANSZÍROZÁSI KIADÁSOK ÖSSZESEN: (37+41+48+53+59+60)</v>
      </c>
      <c r="C159" s="287">
        <f>+C135+C139+C146+C151+C157+C158</f>
        <v>0</v>
      </c>
      <c r="F159" s="17"/>
      <c r="G159" s="76"/>
      <c r="H159" s="76"/>
      <c r="I159" s="76"/>
    </row>
    <row r="160" spans="1:9" s="1" customFormat="1" ht="17.25" customHeight="1" thickBot="1" x14ac:dyDescent="0.3">
      <c r="A160" s="376">
        <f>'KV_1.1.sz.mell.'!A160</f>
        <v>62</v>
      </c>
      <c r="B160" s="81" t="str">
        <f>'KV_1.1.sz.mell.'!B160</f>
        <v>KIADÁSOK ÖSSZESEN: (36.+61)</v>
      </c>
      <c r="C160" s="287">
        <f>+C134+C159</f>
        <v>128422281</v>
      </c>
    </row>
    <row r="161" spans="1:3" ht="10.5" customHeight="1" x14ac:dyDescent="0.3">
      <c r="A161" s="418"/>
      <c r="B161" s="413"/>
      <c r="C161" s="305">
        <f>C93-C160</f>
        <v>28254394</v>
      </c>
    </row>
    <row r="162" spans="1:3" x14ac:dyDescent="0.3">
      <c r="A162" s="673" t="str">
        <f>'KV_1.1.sz.mell.'!A162</f>
        <v>KÖLTSÉGVETÉSI, FINANSZÍROZÁSI BEVÉTELEK ÉS KIADÁSOK EGYENLEGE</v>
      </c>
      <c r="B162" s="673"/>
      <c r="C162" s="673"/>
    </row>
    <row r="163" spans="1:3" ht="15.15" customHeight="1" thickBot="1" x14ac:dyDescent="0.35">
      <c r="A163" s="672"/>
      <c r="B163" s="672"/>
      <c r="C163" s="421" t="str">
        <f>'KV_1.1.sz.mell.'!C163</f>
        <v>Forintban!</v>
      </c>
    </row>
    <row r="164" spans="1:3" ht="13.5" customHeight="1" thickBot="1" x14ac:dyDescent="0.35">
      <c r="A164" s="374">
        <f>'KV_1.1.sz.mell.'!A164</f>
        <v>1</v>
      </c>
      <c r="B164" s="8" t="str">
        <f>'KV_1.1.sz.mell.'!B164</f>
        <v>Költségvetési hiány, többlet ( költségvetési bevételek 59. sor - költségvetési kiadások 36. sor) (+/-)</v>
      </c>
      <c r="C164" s="177">
        <f>+C68-C134</f>
        <v>28254394</v>
      </c>
    </row>
    <row r="165" spans="1:3" ht="27.75" customHeight="1" thickBot="1" x14ac:dyDescent="0.35">
      <c r="A165" s="374">
        <f>'KV_1.1.sz.mell.'!A165</f>
        <v>2</v>
      </c>
      <c r="B165" s="8" t="str">
        <f>'KV_1.1.sz.mell.'!B165</f>
        <v>Finanszírozási bevételek, kiadások egyenlege (finanszírozási bevételek 83. sor - finanszírozási kiadások 61. sor)
 (+/-)</v>
      </c>
      <c r="C165" s="177">
        <f>C92-C159</f>
        <v>0</v>
      </c>
    </row>
  </sheetData>
  <mergeCells count="10">
    <mergeCell ref="A163:B163"/>
    <mergeCell ref="B1:C1"/>
    <mergeCell ref="A6:C6"/>
    <mergeCell ref="A7:B7"/>
    <mergeCell ref="A95:C95"/>
    <mergeCell ref="A96:B96"/>
    <mergeCell ref="A162:C162"/>
    <mergeCell ref="A2:C2"/>
    <mergeCell ref="A3:C3"/>
    <mergeCell ref="A4:C4"/>
  </mergeCells>
  <printOptions horizontalCentered="1"/>
  <pageMargins left="0.6692913385826772" right="0.6692913385826772" top="0.86614173228346458" bottom="0.86614173228346458" header="0" footer="0"/>
  <pageSetup paperSize="9" scale="74" fitToHeight="2" orientation="portrait" r:id="rId1"/>
  <headerFooter alignWithMargins="0"/>
  <rowBreaks count="2" manualBreakCount="2">
    <brk id="68" max="2" man="1"/>
    <brk id="145" max="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9">
    <tabColor rgb="FF92D050"/>
  </sheetPr>
  <dimension ref="A1:L165"/>
  <sheetViews>
    <sheetView topLeftCell="A2" zoomScale="120" zoomScaleNormal="120" zoomScaleSheetLayoutView="100" workbookViewId="0">
      <selection activeCell="A6" sqref="A6:C165"/>
    </sheetView>
  </sheetViews>
  <sheetFormatPr defaultColWidth="9.33203125" defaultRowHeight="15.6" x14ac:dyDescent="0.3"/>
  <cols>
    <col min="1" max="1" width="9.44140625" style="15" customWidth="1"/>
    <col min="2" max="2" width="99.33203125" style="15" customWidth="1"/>
    <col min="3" max="3" width="21.6640625" style="219" customWidth="1"/>
    <col min="4" max="4" width="9" style="15" customWidth="1"/>
    <col min="5" max="16384" width="9.33203125" style="15"/>
  </cols>
  <sheetData>
    <row r="1" spans="1:3" ht="18.75" hidden="1" customHeight="1" x14ac:dyDescent="0.3">
      <c r="B1" s="677" t="str">
        <f>CONCATENATE("1.4. melléklet ",ALAPADATOK!A7," ",ALAPADATOK!B7," ",ALAPADATOK!C7," ",ALAPADATOK!D7," ",ALAPADATOK!E7," ",ALAPADATOK!F7," ",ALAPADATOK!G7," ",ALAPADATOK!H7)</f>
        <v>1.4. melléklet a … / 2025. ( … ) önkormányzati rendelethez</v>
      </c>
      <c r="C1" s="678"/>
    </row>
    <row r="2" spans="1:3" ht="21.9" customHeight="1" x14ac:dyDescent="0.3">
      <c r="A2" s="679" t="str">
        <f>CONCATENATE(ALAPADATOK!A3)</f>
        <v>Alsónyék Község Önkormányzata</v>
      </c>
      <c r="B2" s="676"/>
      <c r="C2" s="676"/>
    </row>
    <row r="3" spans="1:3" ht="21.9" customHeight="1" x14ac:dyDescent="0.3">
      <c r="A3" s="679" t="str">
        <f>'KV_1.3.sz.mell.'!A3</f>
        <v>2025. ÉVI KÖLTSÉGVETÉS</v>
      </c>
      <c r="B3" s="676"/>
      <c r="C3" s="676"/>
    </row>
    <row r="4" spans="1:3" ht="21.9" customHeight="1" x14ac:dyDescent="0.3">
      <c r="A4" s="679" t="s">
        <v>314</v>
      </c>
      <c r="B4" s="676"/>
      <c r="C4" s="676"/>
    </row>
    <row r="5" spans="1:3" ht="21.9" customHeight="1" x14ac:dyDescent="0.3">
      <c r="A5" s="406"/>
      <c r="B5" s="406"/>
      <c r="C5" s="390"/>
    </row>
    <row r="6" spans="1:3" ht="15.15" customHeight="1" x14ac:dyDescent="0.3">
      <c r="A6" s="670" t="str">
        <f>'KV_1.1.sz.mell.'!A6</f>
        <v>B E V É T E L E K</v>
      </c>
      <c r="B6" s="670"/>
      <c r="C6" s="670"/>
    </row>
    <row r="7" spans="1:3" ht="15.15" customHeight="1" thickBot="1" x14ac:dyDescent="0.35">
      <c r="A7" s="671"/>
      <c r="B7" s="671"/>
      <c r="C7" s="419" t="str">
        <f>'KV_1.1.sz.mell.'!C7</f>
        <v>Forintban!</v>
      </c>
    </row>
    <row r="8" spans="1:3" ht="24" customHeight="1" thickBot="1" x14ac:dyDescent="0.35">
      <c r="A8" s="513" t="str">
        <f>'KV_1.1.sz.mell.'!A8</f>
        <v>Sor-
szám</v>
      </c>
      <c r="B8" s="304" t="str">
        <f>'KV_1.1.sz.mell.'!B8</f>
        <v>Bevételi jogcím</v>
      </c>
      <c r="C8" s="420" t="str">
        <f>'KV_1.1.sz.mell.'!C8</f>
        <v>2025. évi előirányzat</v>
      </c>
    </row>
    <row r="9" spans="1:3" s="16" customFormat="1" ht="12" customHeight="1" thickBot="1" x14ac:dyDescent="0.25">
      <c r="A9" s="415"/>
      <c r="B9" s="284" t="str">
        <f>'KV_1.1.sz.mell.'!B9</f>
        <v>A</v>
      </c>
      <c r="C9" s="285" t="str">
        <f>'KV_1.1.sz.mell.'!C9</f>
        <v>B</v>
      </c>
    </row>
    <row r="10" spans="1:3" s="1" customFormat="1" ht="12" customHeight="1" thickBot="1" x14ac:dyDescent="0.3">
      <c r="A10" s="374">
        <f>'KV_1.1.sz.mell.'!A10</f>
        <v>1</v>
      </c>
      <c r="B10" s="324" t="str">
        <f>'KV_1.1.sz.mell.'!B10</f>
        <v>Működési célú támogatások államháztartáson belülről (10+…+11+…+14)</v>
      </c>
      <c r="C10" s="177">
        <f>C19+C20+C21+C22+C23</f>
        <v>0</v>
      </c>
    </row>
    <row r="11" spans="1:3" s="1" customFormat="1" ht="12" customHeight="1" x14ac:dyDescent="0.25">
      <c r="A11" s="371" t="str">
        <f>'KV_1.1.sz.mell.'!A11</f>
        <v>2</v>
      </c>
      <c r="B11" s="325" t="str">
        <f>'KV_1.1.sz.mell.'!B11</f>
        <v>Helyi önkormányzatok működésének általános támogatása</v>
      </c>
      <c r="C11" s="180"/>
    </row>
    <row r="12" spans="1:3" s="1" customFormat="1" ht="12" customHeight="1" x14ac:dyDescent="0.25">
      <c r="A12" s="371" t="str">
        <f>'KV_1.1.sz.mell.'!A12</f>
        <v>3</v>
      </c>
      <c r="B12" s="325" t="str">
        <f>'KV_1.1.sz.mell.'!B12</f>
        <v>Önkormányzatok egyes köznevelési feladatainak támogatása</v>
      </c>
      <c r="C12" s="180"/>
    </row>
    <row r="13" spans="1:3" s="1" customFormat="1" ht="12" customHeight="1" x14ac:dyDescent="0.25">
      <c r="A13" s="371" t="str">
        <f>'KV_1.1.sz.mell.'!A13</f>
        <v>4</v>
      </c>
      <c r="B13" s="325" t="str">
        <f>'KV_1.1.sz.mell.'!B13</f>
        <v>Önkormányzatok szociális és gyermekjóléti feladatainak támogatása</v>
      </c>
      <c r="C13" s="180"/>
    </row>
    <row r="14" spans="1:3" s="1" customFormat="1" ht="12" customHeight="1" x14ac:dyDescent="0.25">
      <c r="A14" s="371" t="str">
        <f>'KV_1.1.sz.mell.'!A14</f>
        <v>5</v>
      </c>
      <c r="B14" s="325" t="str">
        <f>'KV_1.1.sz.mell.'!B14</f>
        <v>Önkormányzatok gyermekétkeztetési feladatainak támogatása</v>
      </c>
      <c r="C14" s="180"/>
    </row>
    <row r="15" spans="1:3" s="1" customFormat="1" ht="12" customHeight="1" x14ac:dyDescent="0.25">
      <c r="A15" s="371" t="str">
        <f>'KV_1.1.sz.mell.'!A15</f>
        <v>6</v>
      </c>
      <c r="B15" s="325" t="str">
        <f>'KV_1.1.sz.mell.'!B15</f>
        <v>Önkormányzatok kulturális feladatainak támogatása</v>
      </c>
      <c r="C15" s="180"/>
    </row>
    <row r="16" spans="1:3" s="1" customFormat="1" ht="12" customHeight="1" x14ac:dyDescent="0.25">
      <c r="A16" s="371" t="str">
        <f>'KV_1.1.sz.mell.'!A16</f>
        <v>7</v>
      </c>
      <c r="B16" s="325" t="str">
        <f>'KV_1.1.sz.mell.'!B16</f>
        <v xml:space="preserve">Működési célú kvi támogatások és kiegészítő támogatások </v>
      </c>
      <c r="C16" s="180"/>
    </row>
    <row r="17" spans="1:3" s="1" customFormat="1" ht="12" customHeight="1" x14ac:dyDescent="0.25">
      <c r="A17" s="371" t="str">
        <f>'KV_1.1.sz.mell.'!A17</f>
        <v>8</v>
      </c>
      <c r="B17" s="325" t="str">
        <f>'KV_1.1.sz.mell.'!B17</f>
        <v>Elszámolásból származó bevételek</v>
      </c>
      <c r="C17" s="180"/>
    </row>
    <row r="18" spans="1:3" s="1" customFormat="1" ht="12" customHeight="1" x14ac:dyDescent="0.25">
      <c r="A18" s="371" t="str">
        <f>'KV_1.1.sz.mell.'!A18</f>
        <v>9</v>
      </c>
      <c r="B18" s="325" t="str">
        <f>'KV_1.1.sz.mell.'!B18</f>
        <v>Elvonások és befizetések bevételei</v>
      </c>
      <c r="C18" s="514"/>
    </row>
    <row r="19" spans="1:3" s="1" customFormat="1" ht="12" customHeight="1" x14ac:dyDescent="0.25">
      <c r="A19" s="371" t="str">
        <f>'KV_1.1.sz.mell.'!A19</f>
        <v>10</v>
      </c>
      <c r="B19" s="325" t="str">
        <f>'KV_1.1.sz.mell.'!B19</f>
        <v>Önkormányzat működési támogatásai (2+…+.9)</v>
      </c>
      <c r="C19" s="386">
        <f>SUM(C11:C18)</f>
        <v>0</v>
      </c>
    </row>
    <row r="20" spans="1:3" s="1" customFormat="1" ht="12" customHeight="1" x14ac:dyDescent="0.25">
      <c r="A20" s="371" t="str">
        <f>'KV_1.1.sz.mell.'!A20</f>
        <v>11</v>
      </c>
      <c r="B20" s="325" t="str">
        <f>'KV_1.1.sz.mell.'!B20</f>
        <v xml:space="preserve">Működési célú garancia- és kezességvállalásból megtérülések </v>
      </c>
      <c r="C20" s="180"/>
    </row>
    <row r="21" spans="1:3" s="1" customFormat="1" ht="12" customHeight="1" x14ac:dyDescent="0.25">
      <c r="A21" s="371" t="str">
        <f>'KV_1.1.sz.mell.'!A21</f>
        <v>12</v>
      </c>
      <c r="B21" s="325" t="str">
        <f>'KV_1.1.sz.mell.'!B21</f>
        <v xml:space="preserve">Működési célú visszatérítendő támogatások, kölcsönök visszatérülése </v>
      </c>
      <c r="C21" s="180"/>
    </row>
    <row r="22" spans="1:3" s="1" customFormat="1" ht="12" customHeight="1" x14ac:dyDescent="0.25">
      <c r="A22" s="371" t="str">
        <f>'KV_1.1.sz.mell.'!A22</f>
        <v>13</v>
      </c>
      <c r="B22" s="325" t="str">
        <f>'KV_1.1.sz.mell.'!B22</f>
        <v>Működési célú visszatérítendő támogatások, kölcsönök igénybevétele</v>
      </c>
      <c r="C22" s="180"/>
    </row>
    <row r="23" spans="1:3" s="1" customFormat="1" ht="12" customHeight="1" x14ac:dyDescent="0.25">
      <c r="A23" s="371" t="str">
        <f>'KV_1.1.sz.mell.'!A23</f>
        <v>14</v>
      </c>
      <c r="B23" s="325" t="str">
        <f>'KV_1.1.sz.mell.'!B23</f>
        <v xml:space="preserve">Egyéb működési célú támogatások bevételei </v>
      </c>
      <c r="C23" s="180"/>
    </row>
    <row r="24" spans="1:3" s="1" customFormat="1" ht="12" customHeight="1" thickBot="1" x14ac:dyDescent="0.3">
      <c r="A24" s="371" t="str">
        <f>'KV_1.1.sz.mell.'!A24</f>
        <v>15</v>
      </c>
      <c r="B24" s="325" t="str">
        <f>'KV_1.1.sz.mell.'!B24</f>
        <v>14-ből EU-s támogatás</v>
      </c>
      <c r="C24" s="180"/>
    </row>
    <row r="25" spans="1:3" s="1" customFormat="1" ht="12" customHeight="1" thickBot="1" x14ac:dyDescent="0.3">
      <c r="A25" s="374">
        <f>'KV_1.1.sz.mell.'!A25</f>
        <v>16</v>
      </c>
      <c r="B25" s="324" t="str">
        <f>'KV_1.1.sz.mell.'!B25</f>
        <v>Felhalmozási célú támogatások államháztartáson belülről (17+…+21)</v>
      </c>
      <c r="C25" s="177">
        <f>+C26+C27+C28+C29+C30</f>
        <v>0</v>
      </c>
    </row>
    <row r="26" spans="1:3" s="1" customFormat="1" ht="12" customHeight="1" x14ac:dyDescent="0.25">
      <c r="A26" s="371" t="str">
        <f>'KV_1.1.sz.mell.'!A26</f>
        <v>17</v>
      </c>
      <c r="B26" s="325" t="str">
        <f>'KV_1.1.sz.mell.'!B26</f>
        <v>Felhalmozási célú önkormányzati támogatások</v>
      </c>
      <c r="C26" s="180"/>
    </row>
    <row r="27" spans="1:3" s="1" customFormat="1" ht="12" customHeight="1" x14ac:dyDescent="0.25">
      <c r="A27" s="371" t="str">
        <f>'KV_1.1.sz.mell.'!A27</f>
        <v>18</v>
      </c>
      <c r="B27" s="325" t="str">
        <f>'KV_1.1.sz.mell.'!B27</f>
        <v>Felhalmozási célú garancia- és kezességvállalásból megtérülések</v>
      </c>
      <c r="C27" s="179"/>
    </row>
    <row r="28" spans="1:3" s="1" customFormat="1" ht="12" customHeight="1" x14ac:dyDescent="0.25">
      <c r="A28" s="371" t="str">
        <f>'KV_1.1.sz.mell.'!A28</f>
        <v>19</v>
      </c>
      <c r="B28" s="325" t="str">
        <f>'KV_1.1.sz.mell.'!B28</f>
        <v>Felhalmozási célú visszatérítendő támogatások, kölcsönök visszatérülése</v>
      </c>
      <c r="C28" s="179"/>
    </row>
    <row r="29" spans="1:3" s="1" customFormat="1" ht="12" customHeight="1" x14ac:dyDescent="0.25">
      <c r="A29" s="371" t="str">
        <f>'KV_1.1.sz.mell.'!A29</f>
        <v>20</v>
      </c>
      <c r="B29" s="325" t="str">
        <f>'KV_1.1.sz.mell.'!B29</f>
        <v>Felhalmozási célú visszatérítendő támogatások, kölcsönök igénybevétele</v>
      </c>
      <c r="C29" s="179"/>
    </row>
    <row r="30" spans="1:3" s="1" customFormat="1" ht="12" customHeight="1" x14ac:dyDescent="0.25">
      <c r="A30" s="371" t="str">
        <f>'KV_1.1.sz.mell.'!A30</f>
        <v>21</v>
      </c>
      <c r="B30" s="325" t="str">
        <f>'KV_1.1.sz.mell.'!B30</f>
        <v>Egyéb felhalmozási célú támogatások bevételei</v>
      </c>
      <c r="C30" s="179"/>
    </row>
    <row r="31" spans="1:3" s="281" customFormat="1" ht="12" customHeight="1" thickBot="1" x14ac:dyDescent="0.3">
      <c r="A31" s="371" t="str">
        <f>'KV_1.1.sz.mell.'!A31</f>
        <v>22</v>
      </c>
      <c r="B31" s="325" t="str">
        <f>'KV_1.1.sz.mell.'!B31</f>
        <v xml:space="preserve">   21-ből EU-s támogatás</v>
      </c>
      <c r="C31" s="179"/>
    </row>
    <row r="32" spans="1:3" s="1" customFormat="1" ht="12" customHeight="1" thickBot="1" x14ac:dyDescent="0.3">
      <c r="A32" s="374">
        <f>'KV_1.1.sz.mell.'!A32</f>
        <v>23</v>
      </c>
      <c r="B32" s="324" t="str">
        <f>'KV_1.1.sz.mell.'!B32</f>
        <v>Közhatalmi bevételek (24+…+30)</v>
      </c>
      <c r="C32" s="183">
        <f>SUM(C33:C39)</f>
        <v>0</v>
      </c>
    </row>
    <row r="33" spans="1:3" s="1" customFormat="1" ht="12" customHeight="1" x14ac:dyDescent="0.25">
      <c r="A33" s="371" t="str">
        <f>'KV_1.1.sz.mell.'!A33</f>
        <v>24</v>
      </c>
      <c r="B33" s="325" t="str">
        <f>'KV_1.1.sz.mell.'!B33</f>
        <v>Építményadó</v>
      </c>
      <c r="C33" s="180"/>
    </row>
    <row r="34" spans="1:3" s="1" customFormat="1" ht="12" customHeight="1" x14ac:dyDescent="0.25">
      <c r="A34" s="371" t="str">
        <f>'KV_1.1.sz.mell.'!A34</f>
        <v>25</v>
      </c>
      <c r="B34" s="325" t="str">
        <f>'KV_1.1.sz.mell.'!B34</f>
        <v>Magánszemélyek kommunális adója</v>
      </c>
      <c r="C34" s="179"/>
    </row>
    <row r="35" spans="1:3" s="1" customFormat="1" ht="12" customHeight="1" x14ac:dyDescent="0.25">
      <c r="A35" s="371" t="str">
        <f>'KV_1.1.sz.mell.'!A35</f>
        <v>26</v>
      </c>
      <c r="B35" s="325" t="str">
        <f>'KV_1.1.sz.mell.'!B35</f>
        <v>Iparűzési adó</v>
      </c>
      <c r="C35" s="179"/>
    </row>
    <row r="36" spans="1:3" s="1" customFormat="1" ht="12" customHeight="1" x14ac:dyDescent="0.25">
      <c r="A36" s="371" t="str">
        <f>'KV_1.1.sz.mell.'!A36</f>
        <v>27</v>
      </c>
      <c r="B36" s="325" t="str">
        <f>'KV_1.1.sz.mell.'!B36</f>
        <v xml:space="preserve">Talajterhelési díj </v>
      </c>
      <c r="C36" s="179"/>
    </row>
    <row r="37" spans="1:3" s="1" customFormat="1" ht="12" customHeight="1" x14ac:dyDescent="0.25">
      <c r="A37" s="371" t="str">
        <f>'KV_1.1.sz.mell.'!A37</f>
        <v>28</v>
      </c>
      <c r="B37" s="325" t="str">
        <f>'KV_1.1.sz.mell.'!B37</f>
        <v>Gépjárműadó</v>
      </c>
      <c r="C37" s="179"/>
    </row>
    <row r="38" spans="1:3" s="1" customFormat="1" ht="12" customHeight="1" x14ac:dyDescent="0.25">
      <c r="A38" s="371" t="str">
        <f>'KV_1.1.sz.mell.'!A38</f>
        <v>29</v>
      </c>
      <c r="B38" s="325" t="str">
        <f>'KV_1.1.sz.mell.'!B38</f>
        <v>Telekadó</v>
      </c>
      <c r="C38" s="179"/>
    </row>
    <row r="39" spans="1:3" s="1" customFormat="1" ht="12" customHeight="1" thickBot="1" x14ac:dyDescent="0.3">
      <c r="A39" s="371" t="str">
        <f>'KV_1.1.sz.mell.'!A39</f>
        <v>30</v>
      </c>
      <c r="B39" s="325" t="str">
        <f>'KV_1.1.sz.mell.'!B39</f>
        <v>Egyéb közhatalmi bevételek</v>
      </c>
      <c r="C39" s="181"/>
    </row>
    <row r="40" spans="1:3" s="1" customFormat="1" ht="12" customHeight="1" thickBot="1" x14ac:dyDescent="0.3">
      <c r="A40" s="374">
        <f>'KV_1.1.sz.mell.'!A40</f>
        <v>31</v>
      </c>
      <c r="B40" s="324" t="str">
        <f>'KV_1.1.sz.mell.'!B40</f>
        <v>Működési bevételek (32+…+ 42)</v>
      </c>
      <c r="C40" s="177">
        <f>SUM(C41:C51)</f>
        <v>0</v>
      </c>
    </row>
    <row r="41" spans="1:3" s="1" customFormat="1" ht="12" customHeight="1" x14ac:dyDescent="0.25">
      <c r="A41" s="371" t="str">
        <f>'KV_1.1.sz.mell.'!A41</f>
        <v>32</v>
      </c>
      <c r="B41" s="325" t="str">
        <f>'KV_1.1.sz.mell.'!B41</f>
        <v>Készletértékesítés ellenértéke</v>
      </c>
      <c r="C41" s="180"/>
    </row>
    <row r="42" spans="1:3" s="1" customFormat="1" ht="12" customHeight="1" x14ac:dyDescent="0.25">
      <c r="A42" s="371" t="str">
        <f>'KV_1.1.sz.mell.'!A42</f>
        <v>33</v>
      </c>
      <c r="B42" s="325" t="str">
        <f>'KV_1.1.sz.mell.'!B42</f>
        <v>Szolgáltatások ellenértéke</v>
      </c>
      <c r="C42" s="179"/>
    </row>
    <row r="43" spans="1:3" s="1" customFormat="1" ht="12" customHeight="1" x14ac:dyDescent="0.25">
      <c r="A43" s="371" t="str">
        <f>'KV_1.1.sz.mell.'!A43</f>
        <v>34</v>
      </c>
      <c r="B43" s="325" t="str">
        <f>'KV_1.1.sz.mell.'!B43</f>
        <v>Közvetített szolgáltatások értéke</v>
      </c>
      <c r="C43" s="179"/>
    </row>
    <row r="44" spans="1:3" s="1" customFormat="1" ht="12" customHeight="1" x14ac:dyDescent="0.25">
      <c r="A44" s="371" t="str">
        <f>'KV_1.1.sz.mell.'!A44</f>
        <v>35</v>
      </c>
      <c r="B44" s="325" t="str">
        <f>'KV_1.1.sz.mell.'!B44</f>
        <v>Tulajdonosi bevételek</v>
      </c>
      <c r="C44" s="179"/>
    </row>
    <row r="45" spans="1:3" s="1" customFormat="1" ht="12" customHeight="1" x14ac:dyDescent="0.25">
      <c r="A45" s="371" t="str">
        <f>'KV_1.1.sz.mell.'!A45</f>
        <v>36</v>
      </c>
      <c r="B45" s="325" t="str">
        <f>'KV_1.1.sz.mell.'!B45</f>
        <v>Ellátási díjak</v>
      </c>
      <c r="C45" s="179"/>
    </row>
    <row r="46" spans="1:3" s="1" customFormat="1" ht="12" customHeight="1" x14ac:dyDescent="0.25">
      <c r="A46" s="371" t="str">
        <f>'KV_1.1.sz.mell.'!A46</f>
        <v>37</v>
      </c>
      <c r="B46" s="325" t="str">
        <f>'KV_1.1.sz.mell.'!B46</f>
        <v xml:space="preserve">Kiszámlázott általános forgalmi adó </v>
      </c>
      <c r="C46" s="179"/>
    </row>
    <row r="47" spans="1:3" s="1" customFormat="1" ht="12" customHeight="1" x14ac:dyDescent="0.25">
      <c r="A47" s="371" t="str">
        <f>'KV_1.1.sz.mell.'!A47</f>
        <v>38</v>
      </c>
      <c r="B47" s="325" t="str">
        <f>'KV_1.1.sz.mell.'!B47</f>
        <v>Általános forgalmi adó visszatérítése</v>
      </c>
      <c r="C47" s="179"/>
    </row>
    <row r="48" spans="1:3" s="1" customFormat="1" ht="12" customHeight="1" x14ac:dyDescent="0.25">
      <c r="A48" s="371" t="str">
        <f>'KV_1.1.sz.mell.'!A48</f>
        <v>39</v>
      </c>
      <c r="B48" s="325" t="str">
        <f>'KV_1.1.sz.mell.'!B48</f>
        <v>Kamatbevételek és más nyereségjellegű bevételek</v>
      </c>
      <c r="C48" s="179"/>
    </row>
    <row r="49" spans="1:3" s="1" customFormat="1" ht="12" customHeight="1" x14ac:dyDescent="0.25">
      <c r="A49" s="371" t="str">
        <f>'KV_1.1.sz.mell.'!A49</f>
        <v>40</v>
      </c>
      <c r="B49" s="325" t="str">
        <f>'KV_1.1.sz.mell.'!B49</f>
        <v>Egyéb pénzügyi műveletek bevételei</v>
      </c>
      <c r="C49" s="182"/>
    </row>
    <row r="50" spans="1:3" s="1" customFormat="1" ht="12" customHeight="1" x14ac:dyDescent="0.25">
      <c r="A50" s="371" t="str">
        <f>'KV_1.1.sz.mell.'!A50</f>
        <v>41</v>
      </c>
      <c r="B50" s="325" t="str">
        <f>'KV_1.1.sz.mell.'!B50</f>
        <v>Biztosító által fizetett kártérítés</v>
      </c>
      <c r="C50" s="222"/>
    </row>
    <row r="51" spans="1:3" s="1" customFormat="1" ht="12" customHeight="1" thickBot="1" x14ac:dyDescent="0.3">
      <c r="A51" s="371" t="str">
        <f>'KV_1.1.sz.mell.'!A51</f>
        <v>42</v>
      </c>
      <c r="B51" s="325" t="str">
        <f>'KV_1.1.sz.mell.'!B51</f>
        <v>Egyéb működési bevételek</v>
      </c>
      <c r="C51" s="222"/>
    </row>
    <row r="52" spans="1:3" s="1" customFormat="1" ht="12" customHeight="1" thickBot="1" x14ac:dyDescent="0.3">
      <c r="A52" s="374">
        <f>'KV_1.1.sz.mell.'!A52</f>
        <v>43</v>
      </c>
      <c r="B52" s="324" t="str">
        <f>'KV_1.1.sz.mell.'!B52</f>
        <v>Felhalmozási bevételek (44+…+48)</v>
      </c>
      <c r="C52" s="177">
        <f>SUM(C53:C57)</f>
        <v>0</v>
      </c>
    </row>
    <row r="53" spans="1:3" s="1" customFormat="1" ht="12" customHeight="1" x14ac:dyDescent="0.25">
      <c r="A53" s="371" t="str">
        <f>'KV_1.1.sz.mell.'!A53</f>
        <v>44</v>
      </c>
      <c r="B53" s="325" t="str">
        <f>'KV_1.1.sz.mell.'!B53</f>
        <v>Immateriális javak értékesítése</v>
      </c>
      <c r="C53" s="228"/>
    </row>
    <row r="54" spans="1:3" s="1" customFormat="1" ht="12" customHeight="1" x14ac:dyDescent="0.25">
      <c r="A54" s="371" t="str">
        <f>'KV_1.1.sz.mell.'!A54</f>
        <v>45</v>
      </c>
      <c r="B54" s="325" t="str">
        <f>'KV_1.1.sz.mell.'!B54</f>
        <v>Ingatlanok értékesítése</v>
      </c>
      <c r="C54" s="182"/>
    </row>
    <row r="55" spans="1:3" s="1" customFormat="1" ht="12" customHeight="1" x14ac:dyDescent="0.25">
      <c r="A55" s="371" t="str">
        <f>'KV_1.1.sz.mell.'!A55</f>
        <v>46</v>
      </c>
      <c r="B55" s="325" t="str">
        <f>'KV_1.1.sz.mell.'!B55</f>
        <v>Egyéb tárgyi eszközök értékesítése</v>
      </c>
      <c r="C55" s="182"/>
    </row>
    <row r="56" spans="1:3" s="1" customFormat="1" ht="12" customHeight="1" x14ac:dyDescent="0.25">
      <c r="A56" s="371" t="str">
        <f>'KV_1.1.sz.mell.'!A56</f>
        <v>47</v>
      </c>
      <c r="B56" s="325" t="str">
        <f>'KV_1.1.sz.mell.'!B56</f>
        <v>Részesedések értékesítése</v>
      </c>
      <c r="C56" s="182"/>
    </row>
    <row r="57" spans="1:3" s="1" customFormat="1" ht="12" customHeight="1" thickBot="1" x14ac:dyDescent="0.3">
      <c r="A57" s="371" t="str">
        <f>'KV_1.1.sz.mell.'!A57</f>
        <v>48</v>
      </c>
      <c r="B57" s="325" t="str">
        <f>'KV_1.1.sz.mell.'!B57</f>
        <v>Részesedések megszűnéséhez kapcsolódó bevételek</v>
      </c>
      <c r="C57" s="222"/>
    </row>
    <row r="58" spans="1:3" s="1" customFormat="1" ht="12" customHeight="1" thickBot="1" x14ac:dyDescent="0.3">
      <c r="A58" s="374">
        <f>'KV_1.1.sz.mell.'!A58</f>
        <v>49</v>
      </c>
      <c r="B58" s="324" t="str">
        <f>'KV_1.1.sz.mell.'!B58</f>
        <v>Működési célú átvett pénzeszközök (50+ … + 52)</v>
      </c>
      <c r="C58" s="177">
        <f>SUM(C59:C61)</f>
        <v>0</v>
      </c>
    </row>
    <row r="59" spans="1:3" s="1" customFormat="1" ht="12" customHeight="1" x14ac:dyDescent="0.25">
      <c r="A59" s="371" t="str">
        <f>'KV_1.1.sz.mell.'!A59</f>
        <v>50</v>
      </c>
      <c r="B59" s="325" t="str">
        <f>'KV_1.1.sz.mell.'!B59</f>
        <v>Működési célú garancia- és kezességvállalásból megtérülések ÁH-n kívülről</v>
      </c>
      <c r="C59" s="180"/>
    </row>
    <row r="60" spans="1:3" s="1" customFormat="1" ht="12" customHeight="1" x14ac:dyDescent="0.25">
      <c r="A60" s="371" t="str">
        <f>'KV_1.1.sz.mell.'!A60</f>
        <v>51</v>
      </c>
      <c r="B60" s="325" t="str">
        <f>'KV_1.1.sz.mell.'!B60</f>
        <v>Működési célú visszatérítendő támogatások, kölcsönök visszatér. ÁH-n kívülről</v>
      </c>
      <c r="C60" s="179"/>
    </row>
    <row r="61" spans="1:3" s="1" customFormat="1" ht="12" customHeight="1" x14ac:dyDescent="0.25">
      <c r="A61" s="371" t="str">
        <f>'KV_1.1.sz.mell.'!A61</f>
        <v>52</v>
      </c>
      <c r="B61" s="325" t="str">
        <f>'KV_1.1.sz.mell.'!B61</f>
        <v>Egyéb működési célú átvett pénzeszköz</v>
      </c>
      <c r="C61" s="179"/>
    </row>
    <row r="62" spans="1:3" s="1" customFormat="1" ht="12" customHeight="1" thickBot="1" x14ac:dyDescent="0.3">
      <c r="A62" s="371" t="str">
        <f>'KV_1.1.sz.mell.'!A62</f>
        <v>53</v>
      </c>
      <c r="B62" s="325" t="str">
        <f>'KV_1.1.sz.mell.'!B62</f>
        <v xml:space="preserve">  52-ből EU-s támogatás (közvetlen)</v>
      </c>
      <c r="C62" s="181"/>
    </row>
    <row r="63" spans="1:3" s="1" customFormat="1" ht="12" customHeight="1" thickBot="1" x14ac:dyDescent="0.3">
      <c r="A63" s="374">
        <f>'KV_1.1.sz.mell.'!A63</f>
        <v>54</v>
      </c>
      <c r="B63" s="327" t="str">
        <f>'KV_1.1.sz.mell.'!B63</f>
        <v>Felhalmozási célú átvett pénzeszközök (55+…+57)</v>
      </c>
      <c r="C63" s="177">
        <f>SUM(C64:C66)</f>
        <v>0</v>
      </c>
    </row>
    <row r="64" spans="1:3" s="1" customFormat="1" ht="12" customHeight="1" x14ac:dyDescent="0.25">
      <c r="A64" s="371" t="str">
        <f>'KV_1.1.sz.mell.'!A64</f>
        <v>55</v>
      </c>
      <c r="B64" s="325" t="str">
        <f>'KV_1.1.sz.mell.'!B64</f>
        <v>Felhalm. célú garancia- és kezességvállalásból megtérülések ÁH-n kívülről</v>
      </c>
      <c r="C64" s="182"/>
    </row>
    <row r="65" spans="1:3" s="1" customFormat="1" ht="12" customHeight="1" x14ac:dyDescent="0.25">
      <c r="A65" s="371" t="str">
        <f>'KV_1.1.sz.mell.'!A65</f>
        <v>56</v>
      </c>
      <c r="B65" s="325" t="str">
        <f>'KV_1.1.sz.mell.'!B65</f>
        <v>Felhalm. célú visszatérítendő támogatások, kölcsönök visszatér. ÁH-n kívülről</v>
      </c>
      <c r="C65" s="182"/>
    </row>
    <row r="66" spans="1:3" s="1" customFormat="1" ht="12" customHeight="1" x14ac:dyDescent="0.25">
      <c r="A66" s="371" t="str">
        <f>'KV_1.1.sz.mell.'!A66</f>
        <v>57</v>
      </c>
      <c r="B66" s="325" t="str">
        <f>'KV_1.1.sz.mell.'!B66</f>
        <v>Egyéb felhalmozási célú átvett pénzeszköz</v>
      </c>
      <c r="C66" s="182"/>
    </row>
    <row r="67" spans="1:3" s="1" customFormat="1" ht="12" customHeight="1" thickBot="1" x14ac:dyDescent="0.3">
      <c r="A67" s="371" t="str">
        <f>'KV_1.1.sz.mell.'!A67</f>
        <v>58</v>
      </c>
      <c r="B67" s="325" t="str">
        <f>'KV_1.1.sz.mell.'!B67</f>
        <v xml:space="preserve">  57-ből EU-s támogatás (közvetlen)</v>
      </c>
      <c r="C67" s="182"/>
    </row>
    <row r="68" spans="1:3" s="1" customFormat="1" ht="12" customHeight="1" thickBot="1" x14ac:dyDescent="0.3">
      <c r="A68" s="374">
        <f>'KV_1.1.sz.mell.'!A68</f>
        <v>59</v>
      </c>
      <c r="B68" s="324" t="str">
        <f>'KV_1.1.sz.mell.'!B68</f>
        <v>KÖLTSÉGVETÉSI BEVÉTELEK ÖSSZESEN: (1+16+23+31+43+49+54)</v>
      </c>
      <c r="C68" s="183">
        <f>+C10+C25+C32+C40+C52+C58+C63</f>
        <v>0</v>
      </c>
    </row>
    <row r="69" spans="1:3" s="1" customFormat="1" ht="12" customHeight="1" thickBot="1" x14ac:dyDescent="0.3">
      <c r="A69" s="375">
        <f>'KV_1.1.sz.mell.'!A69</f>
        <v>60</v>
      </c>
      <c r="B69" s="324" t="str">
        <f>'KV_1.1.sz.mell.'!B69</f>
        <v>Hitel-, kölcsönfelvétel államháztartáson kívülről  (61+…+63)</v>
      </c>
      <c r="C69" s="177">
        <f>SUM(C70:C72)</f>
        <v>0</v>
      </c>
    </row>
    <row r="70" spans="1:3" s="1" customFormat="1" ht="12" customHeight="1" x14ac:dyDescent="0.25">
      <c r="A70" s="371" t="str">
        <f>'KV_1.1.sz.mell.'!A70</f>
        <v>61</v>
      </c>
      <c r="B70" s="325" t="str">
        <f>'KV_1.1.sz.mell.'!B70</f>
        <v>Hosszú lejáratú  hitelek, kölcsönök felvétele</v>
      </c>
      <c r="C70" s="182"/>
    </row>
    <row r="71" spans="1:3" s="1" customFormat="1" ht="12" customHeight="1" x14ac:dyDescent="0.25">
      <c r="A71" s="371" t="str">
        <f>'KV_1.1.sz.mell.'!A71</f>
        <v>62</v>
      </c>
      <c r="B71" s="325" t="str">
        <f>'KV_1.1.sz.mell.'!B71</f>
        <v>Likviditási célú  hitelek, kölcsönök felvétele pénzügyi vállalkozástól</v>
      </c>
      <c r="C71" s="182"/>
    </row>
    <row r="72" spans="1:3" s="1" customFormat="1" ht="12" customHeight="1" thickBot="1" x14ac:dyDescent="0.3">
      <c r="A72" s="371" t="str">
        <f>'KV_1.1.sz.mell.'!A72</f>
        <v>63</v>
      </c>
      <c r="B72" s="325" t="str">
        <f>'KV_1.1.sz.mell.'!B72</f>
        <v>Rövid lejáratú  hitelek, kölcsönök felvétele pénzügyi vállalkozástól</v>
      </c>
      <c r="C72" s="182"/>
    </row>
    <row r="73" spans="1:3" s="1" customFormat="1" ht="12" customHeight="1" thickBot="1" x14ac:dyDescent="0.3">
      <c r="A73" s="375">
        <f>'KV_1.1.sz.mell.'!A73</f>
        <v>64</v>
      </c>
      <c r="B73" s="327" t="str">
        <f>'KV_1.1.sz.mell.'!B73</f>
        <v>Belföldi értékpapírok bevételei (65 +…+ 68)</v>
      </c>
      <c r="C73" s="177">
        <f>SUM(C74:C77)</f>
        <v>0</v>
      </c>
    </row>
    <row r="74" spans="1:3" s="1" customFormat="1" ht="12" customHeight="1" x14ac:dyDescent="0.25">
      <c r="A74" s="371" t="str">
        <f>'KV_1.1.sz.mell.'!A74</f>
        <v>65</v>
      </c>
      <c r="B74" s="325" t="str">
        <f>'KV_1.1.sz.mell.'!B74</f>
        <v>Forgatási célú belföldi értékpapírok beváltása,  értékesítése</v>
      </c>
      <c r="C74" s="182"/>
    </row>
    <row r="75" spans="1:3" s="1" customFormat="1" ht="12" customHeight="1" x14ac:dyDescent="0.25">
      <c r="A75" s="371" t="str">
        <f>'KV_1.1.sz.mell.'!A75</f>
        <v>66</v>
      </c>
      <c r="B75" s="325" t="str">
        <f>'KV_1.1.sz.mell.'!B75</f>
        <v>Éven belüli lejáratú belföldi értékpapírok kibocsátása</v>
      </c>
      <c r="C75" s="182"/>
    </row>
    <row r="76" spans="1:3" s="1" customFormat="1" ht="12" customHeight="1" x14ac:dyDescent="0.25">
      <c r="A76" s="371" t="str">
        <f>'KV_1.1.sz.mell.'!A76</f>
        <v>67</v>
      </c>
      <c r="B76" s="325" t="str">
        <f>'KV_1.1.sz.mell.'!B76</f>
        <v>Befektetési célú belföldi értékpapírok beváltása,  értékesítése</v>
      </c>
      <c r="C76" s="222"/>
    </row>
    <row r="77" spans="1:3" s="1" customFormat="1" ht="12" customHeight="1" thickBot="1" x14ac:dyDescent="0.3">
      <c r="A77" s="371" t="str">
        <f>'KV_1.1.sz.mell.'!A77</f>
        <v>68</v>
      </c>
      <c r="B77" s="325" t="str">
        <f>'KV_1.1.sz.mell.'!B77</f>
        <v>Éven túli lejáratú belföldi értékpapírok kibocsátása</v>
      </c>
      <c r="C77" s="286"/>
    </row>
    <row r="78" spans="1:3" s="1" customFormat="1" ht="12" customHeight="1" thickBot="1" x14ac:dyDescent="0.3">
      <c r="A78" s="375">
        <f>'KV_1.1.sz.mell.'!A78</f>
        <v>69</v>
      </c>
      <c r="B78" s="327" t="str">
        <f>'KV_1.1.sz.mell.'!B78</f>
        <v>Maradvány igénybevétele (70 + 71)</v>
      </c>
      <c r="C78" s="177">
        <f>SUM(C79:C80)</f>
        <v>0</v>
      </c>
    </row>
    <row r="79" spans="1:3" s="1" customFormat="1" ht="12" customHeight="1" thickBot="1" x14ac:dyDescent="0.3">
      <c r="A79" s="371" t="str">
        <f>'KV_1.1.sz.mell.'!A79</f>
        <v>70</v>
      </c>
      <c r="B79" s="397" t="str">
        <f>'KV_1.1.sz.mell.'!B79</f>
        <v>Előző év költségvetési maradványának igénybevétele</v>
      </c>
      <c r="C79" s="336"/>
    </row>
    <row r="80" spans="1:3" s="1" customFormat="1" ht="12" customHeight="1" thickBot="1" x14ac:dyDescent="0.3">
      <c r="A80" s="371" t="str">
        <f>'KV_1.1.sz.mell.'!A80</f>
        <v>71</v>
      </c>
      <c r="B80" s="397" t="str">
        <f>'KV_1.1.sz.mell.'!B80</f>
        <v>Előző év vállalkozási maradványának igénybevétele</v>
      </c>
      <c r="C80" s="286"/>
    </row>
    <row r="81" spans="1:12" s="1" customFormat="1" ht="12" customHeight="1" thickBot="1" x14ac:dyDescent="0.3">
      <c r="A81" s="375">
        <f>'KV_1.1.sz.mell.'!A81</f>
        <v>72</v>
      </c>
      <c r="B81" s="327" t="str">
        <f>'KV_1.1.sz.mell.'!B81</f>
        <v>Belföldi finanszírozás bevételei (73 + … + 75)</v>
      </c>
      <c r="C81" s="177">
        <f>SUM(C82:C84)</f>
        <v>0</v>
      </c>
    </row>
    <row r="82" spans="1:12" s="1" customFormat="1" ht="12" customHeight="1" x14ac:dyDescent="0.25">
      <c r="A82" s="371" t="str">
        <f>'KV_1.1.sz.mell.'!A82</f>
        <v>73</v>
      </c>
      <c r="B82" s="325" t="str">
        <f>'KV_1.1.sz.mell.'!B82</f>
        <v>Államháztartáson belüli megelőlegezések</v>
      </c>
      <c r="C82" s="182"/>
    </row>
    <row r="83" spans="1:12" s="1" customFormat="1" ht="12" customHeight="1" x14ac:dyDescent="0.25">
      <c r="A83" s="371" t="str">
        <f>'KV_1.1.sz.mell.'!A83</f>
        <v>74</v>
      </c>
      <c r="B83" s="325" t="str">
        <f>'KV_1.1.sz.mell.'!B83</f>
        <v>Államháztartáson belüli megelőlegezések törlesztése</v>
      </c>
      <c r="C83" s="182"/>
    </row>
    <row r="84" spans="1:12" s="1" customFormat="1" ht="12" customHeight="1" thickBot="1" x14ac:dyDescent="0.3">
      <c r="A84" s="372" t="str">
        <f>'KV_1.1.sz.mell.'!A84</f>
        <v>75</v>
      </c>
      <c r="B84" s="325" t="str">
        <f>'KV_1.1.sz.mell.'!B84</f>
        <v>Lekötött betétek megszüntetése</v>
      </c>
      <c r="C84" s="286"/>
    </row>
    <row r="85" spans="1:12" s="1" customFormat="1" ht="12" customHeight="1" thickBot="1" x14ac:dyDescent="0.3">
      <c r="A85" s="376" t="str">
        <f>'KV_1.1.sz.mell.'!A85</f>
        <v>76</v>
      </c>
      <c r="B85" s="327" t="str">
        <f>'KV_1.1.sz.mell.'!B85</f>
        <v>Külföldi finanszírozás bevételei (77+…+80)</v>
      </c>
      <c r="C85" s="177">
        <f>SUM(C86:C89)</f>
        <v>0</v>
      </c>
    </row>
    <row r="86" spans="1:12" s="1" customFormat="1" ht="12" customHeight="1" x14ac:dyDescent="0.25">
      <c r="A86" s="371" t="str">
        <f>'KV_1.1.sz.mell.'!A86</f>
        <v>77</v>
      </c>
      <c r="B86" s="325" t="str">
        <f>'KV_1.1.sz.mell.'!B86</f>
        <v>Forgatási célú külföldi értékpapírok beváltása,  értékesítése</v>
      </c>
      <c r="C86" s="182"/>
    </row>
    <row r="87" spans="1:12" s="1" customFormat="1" ht="12" customHeight="1" x14ac:dyDescent="0.25">
      <c r="A87" s="371" t="str">
        <f>'KV_1.1.sz.mell.'!A87</f>
        <v>78</v>
      </c>
      <c r="B87" s="325" t="str">
        <f>'KV_1.1.sz.mell.'!B87</f>
        <v>Befektetési célú külföldi értékpapírok beváltása,  értékesítése</v>
      </c>
      <c r="C87" s="182"/>
    </row>
    <row r="88" spans="1:12" s="1" customFormat="1" ht="12" customHeight="1" x14ac:dyDescent="0.25">
      <c r="A88" s="371" t="str">
        <f>'KV_1.1.sz.mell.'!A88</f>
        <v>79</v>
      </c>
      <c r="B88" s="325" t="str">
        <f>'KV_1.1.sz.mell.'!B88</f>
        <v>Külföldi értékpapírok kibocsátása</v>
      </c>
      <c r="C88" s="182"/>
      <c r="L88" s="511"/>
    </row>
    <row r="89" spans="1:12" s="1" customFormat="1" ht="12" customHeight="1" thickBot="1" x14ac:dyDescent="0.3">
      <c r="A89" s="372" t="str">
        <f>'KV_1.1.sz.mell.'!A89</f>
        <v>80</v>
      </c>
      <c r="B89" s="325" t="str">
        <f>'KV_1.1.sz.mell.'!B89</f>
        <v>Külföldi hitelek, kölcsönök felvétele</v>
      </c>
      <c r="C89" s="182"/>
    </row>
    <row r="90" spans="1:12" s="1" customFormat="1" ht="12" customHeight="1" thickBot="1" x14ac:dyDescent="0.3">
      <c r="A90" s="376" t="str">
        <f>'KV_1.1.sz.mell.'!A90</f>
        <v>81</v>
      </c>
      <c r="B90" s="327" t="str">
        <f>'KV_1.1.sz.mell.'!B90</f>
        <v>Váltóbevételek</v>
      </c>
      <c r="C90" s="229"/>
    </row>
    <row r="91" spans="1:12" s="1" customFormat="1" ht="13.5" customHeight="1" thickBot="1" x14ac:dyDescent="0.3">
      <c r="A91" s="377" t="str">
        <f>'KV_1.1.sz.mell.'!A91</f>
        <v>82</v>
      </c>
      <c r="B91" s="327" t="str">
        <f>'KV_1.1.sz.mell.'!B91</f>
        <v>Adóssághoz nem kapcsolódó származékos ügyletek bevételei</v>
      </c>
      <c r="C91" s="229"/>
    </row>
    <row r="92" spans="1:12" s="1" customFormat="1" ht="15.75" customHeight="1" thickBot="1" x14ac:dyDescent="0.3">
      <c r="A92" s="376" t="str">
        <f>'KV_1.1.sz.mell.'!A92</f>
        <v>83</v>
      </c>
      <c r="B92" s="327" t="str">
        <f>'KV_1.1.sz.mell.'!B92</f>
        <v>FINANSZÍROZÁSI BEVÉTELEK ÖSSZESEN: (60 + 64+69+72+76+81+82)</v>
      </c>
      <c r="C92" s="183">
        <f>+C69+C73+C78+C81+C85+C90+C91</f>
        <v>0</v>
      </c>
    </row>
    <row r="93" spans="1:12" s="1" customFormat="1" ht="16.5" customHeight="1" thickBot="1" x14ac:dyDescent="0.3">
      <c r="A93" s="387" t="str">
        <f>'KV_1.1.sz.mell.'!A93</f>
        <v>84</v>
      </c>
      <c r="B93" s="327" t="str">
        <f>'KV_1.1.sz.mell.'!B93</f>
        <v>KÖLTSÉGVETÉSI ÉS FINANSZÍROZÁSI BEVÉTELEK ÖSSZESEN: (59+83)</v>
      </c>
      <c r="C93" s="183">
        <f>+C68+C92</f>
        <v>0</v>
      </c>
    </row>
    <row r="94" spans="1:12" s="1" customFormat="1" ht="11.1" customHeight="1" x14ac:dyDescent="0.25">
      <c r="A94" s="416"/>
      <c r="B94" s="4"/>
      <c r="C94" s="184"/>
    </row>
    <row r="95" spans="1:12" ht="16.5" customHeight="1" x14ac:dyDescent="0.3">
      <c r="A95" s="674" t="str">
        <f>'KV_1.1.sz.mell.'!A95</f>
        <v>K I A D Á S O K</v>
      </c>
      <c r="B95" s="674"/>
      <c r="C95" s="674"/>
    </row>
    <row r="96" spans="1:12" ht="16.5" customHeight="1" thickBot="1" x14ac:dyDescent="0.35">
      <c r="A96" s="672"/>
      <c r="B96" s="672"/>
      <c r="C96" s="421" t="str">
        <f>'KV_1.1.sz.mell.'!C96</f>
        <v>Forintban!</v>
      </c>
    </row>
    <row r="97" spans="1:3" ht="27.75" customHeight="1" thickBot="1" x14ac:dyDescent="0.35">
      <c r="A97" s="512" t="str">
        <f>'KV_1.1.sz.mell.'!A97</f>
        <v>Sor-
szám</v>
      </c>
      <c r="B97" s="282" t="str">
        <f>'KV_1.1.sz.mell.'!B97</f>
        <v>Kiadási jogcímek</v>
      </c>
      <c r="C97" s="422" t="str">
        <f>'KV_1.1.sz.mell.'!C97</f>
        <v>2025. évi előirányzat</v>
      </c>
    </row>
    <row r="98" spans="1:3" s="16" customFormat="1" ht="12" customHeight="1" thickBot="1" x14ac:dyDescent="0.25">
      <c r="A98" s="417"/>
      <c r="B98" s="282" t="str">
        <f>'KV_1.1.sz.mell.'!B98</f>
        <v>A</v>
      </c>
      <c r="C98" s="283" t="str">
        <f>'KV_1.1.sz.mell.'!C98</f>
        <v>B</v>
      </c>
    </row>
    <row r="99" spans="1:3" ht="12" customHeight="1" thickBot="1" x14ac:dyDescent="0.35">
      <c r="A99" s="376">
        <f>'KV_1.1.sz.mell.'!A99</f>
        <v>1</v>
      </c>
      <c r="B99" s="9" t="str">
        <f>'KV_1.1.sz.mell.'!B99</f>
        <v xml:space="preserve">   Működési költségvetés kiadásai (2+…+6)</v>
      </c>
      <c r="C99" s="176">
        <f>C100+C101+C102+C103+C104</f>
        <v>0</v>
      </c>
    </row>
    <row r="100" spans="1:3" ht="12" customHeight="1" thickBot="1" x14ac:dyDescent="0.35">
      <c r="A100" s="373" t="str">
        <f>'KV_1.1.sz.mell.'!A100</f>
        <v>2</v>
      </c>
      <c r="B100" s="401" t="str">
        <f>'KV_1.1.sz.mell.'!B100</f>
        <v>Személyi  juttatások</v>
      </c>
      <c r="C100" s="178"/>
    </row>
    <row r="101" spans="1:3" ht="12" customHeight="1" x14ac:dyDescent="0.3">
      <c r="A101" s="371" t="str">
        <f>'KV_1.1.sz.mell.'!A101</f>
        <v>3</v>
      </c>
      <c r="B101" s="330" t="str">
        <f>'KV_1.1.sz.mell.'!B101</f>
        <v>Munkaadókat terhelő járulékok és szociális hozzájárulási adó</v>
      </c>
      <c r="C101" s="179"/>
    </row>
    <row r="102" spans="1:3" ht="12" customHeight="1" x14ac:dyDescent="0.3">
      <c r="A102" s="371" t="str">
        <f>'KV_1.1.sz.mell.'!A102</f>
        <v>4</v>
      </c>
      <c r="B102" s="331" t="str">
        <f>'KV_1.1.sz.mell.'!B102</f>
        <v>Dologi  kiadások</v>
      </c>
      <c r="C102" s="181"/>
    </row>
    <row r="103" spans="1:3" ht="12" customHeight="1" x14ac:dyDescent="0.3">
      <c r="A103" s="371" t="str">
        <f>'KV_1.1.sz.mell.'!A103</f>
        <v>5</v>
      </c>
      <c r="B103" s="331" t="str">
        <f>'KV_1.1.sz.mell.'!B103</f>
        <v>Ellátottak pénzbeli juttatásai</v>
      </c>
      <c r="C103" s="181"/>
    </row>
    <row r="104" spans="1:3" ht="12" customHeight="1" x14ac:dyDescent="0.3">
      <c r="A104" s="371" t="str">
        <f>'KV_1.1.sz.mell.'!A104</f>
        <v>6</v>
      </c>
      <c r="B104" s="331" t="str">
        <f>'KV_1.1.sz.mell.'!B104</f>
        <v>Egyéb működési célú kiadások</v>
      </c>
      <c r="C104" s="181"/>
    </row>
    <row r="105" spans="1:3" ht="12" customHeight="1" x14ac:dyDescent="0.3">
      <c r="A105" s="371" t="str">
        <f>'KV_1.1.sz.mell.'!A105</f>
        <v>7</v>
      </c>
      <c r="B105" s="331" t="str">
        <f>'KV_1.1.sz.mell.'!B105</f>
        <v xml:space="preserve">   - a 6-ból:       - Előző évi elszámolásból származó befizetések</v>
      </c>
      <c r="C105" s="181"/>
    </row>
    <row r="106" spans="1:3" ht="12" customHeight="1" x14ac:dyDescent="0.3">
      <c r="A106" s="371" t="str">
        <f>'KV_1.1.sz.mell.'!A106</f>
        <v>8</v>
      </c>
      <c r="B106" s="331" t="str">
        <f>'KV_1.1.sz.mell.'!B106</f>
        <v xml:space="preserve">   - Törvényi előíráson alapuló befizetések</v>
      </c>
      <c r="C106" s="181"/>
    </row>
    <row r="107" spans="1:3" ht="12" customHeight="1" x14ac:dyDescent="0.3">
      <c r="A107" s="371" t="str">
        <f>'KV_1.1.sz.mell.'!A107</f>
        <v>9</v>
      </c>
      <c r="B107" s="331" t="str">
        <f>'KV_1.1.sz.mell.'!B107</f>
        <v xml:space="preserve">   - Egyéb elvonások, befizetések</v>
      </c>
      <c r="C107" s="181"/>
    </row>
    <row r="108" spans="1:3" ht="12" customHeight="1" x14ac:dyDescent="0.3">
      <c r="A108" s="371" t="str">
        <f>'KV_1.1.sz.mell.'!A108</f>
        <v>10</v>
      </c>
      <c r="B108" s="331" t="str">
        <f>'KV_1.1.sz.mell.'!B108</f>
        <v xml:space="preserve">   - Garancia- és kezességvállalásból kifizetés ÁH-n belülre</v>
      </c>
      <c r="C108" s="181"/>
    </row>
    <row r="109" spans="1:3" ht="12" customHeight="1" x14ac:dyDescent="0.3">
      <c r="A109" s="371" t="str">
        <f>'KV_1.1.sz.mell.'!A109</f>
        <v>11</v>
      </c>
      <c r="B109" s="331" t="str">
        <f>'KV_1.1.sz.mell.'!B109</f>
        <v xml:space="preserve">   -Visszatérítendő támogatások, kölcsönök nyújtása ÁH-n belülre</v>
      </c>
      <c r="C109" s="181"/>
    </row>
    <row r="110" spans="1:3" ht="12" customHeight="1" x14ac:dyDescent="0.3">
      <c r="A110" s="371" t="str">
        <f>'KV_1.1.sz.mell.'!A110</f>
        <v>12</v>
      </c>
      <c r="B110" s="331" t="str">
        <f>'KV_1.1.sz.mell.'!B110</f>
        <v xml:space="preserve">   - Visszatérítendő támogatások, kölcsönök törlesztése ÁH-n belülre</v>
      </c>
      <c r="C110" s="181"/>
    </row>
    <row r="111" spans="1:3" ht="12" customHeight="1" x14ac:dyDescent="0.3">
      <c r="A111" s="371" t="str">
        <f>'KV_1.1.sz.mell.'!A111</f>
        <v>13</v>
      </c>
      <c r="B111" s="331" t="str">
        <f>'KV_1.1.sz.mell.'!B111</f>
        <v xml:space="preserve">   - Egyéb működési célú támogatások ÁH-n belülre</v>
      </c>
      <c r="C111" s="181"/>
    </row>
    <row r="112" spans="1:3" ht="12" customHeight="1" x14ac:dyDescent="0.3">
      <c r="A112" s="371" t="str">
        <f>'KV_1.1.sz.mell.'!A112</f>
        <v>14</v>
      </c>
      <c r="B112" s="331" t="str">
        <f>'KV_1.1.sz.mell.'!B112</f>
        <v xml:space="preserve">   - Garancia és kezességvállalásból kifizetés ÁH-n kívülre</v>
      </c>
      <c r="C112" s="181"/>
    </row>
    <row r="113" spans="1:3" ht="12" customHeight="1" x14ac:dyDescent="0.3">
      <c r="A113" s="371" t="str">
        <f>'KV_1.1.sz.mell.'!A113</f>
        <v>15</v>
      </c>
      <c r="B113" s="331" t="str">
        <f>'KV_1.1.sz.mell.'!B113</f>
        <v xml:space="preserve">   - Visszatérítendő támogatások, kölcsönök nyújtása ÁH-n kívülre</v>
      </c>
      <c r="C113" s="181"/>
    </row>
    <row r="114" spans="1:3" ht="12" customHeight="1" x14ac:dyDescent="0.3">
      <c r="A114" s="371" t="str">
        <f>'KV_1.1.sz.mell.'!A114</f>
        <v>16</v>
      </c>
      <c r="B114" s="331" t="str">
        <f>'KV_1.1.sz.mell.'!B114</f>
        <v xml:space="preserve">   - Árkiegészítések, ártámogatások</v>
      </c>
      <c r="C114" s="181"/>
    </row>
    <row r="115" spans="1:3" ht="12" customHeight="1" x14ac:dyDescent="0.3">
      <c r="A115" s="371" t="str">
        <f>'KV_1.1.sz.mell.'!A115</f>
        <v>17</v>
      </c>
      <c r="B115" s="331" t="str">
        <f>'KV_1.1.sz.mell.'!B115</f>
        <v xml:space="preserve">   - Kamattámogatások</v>
      </c>
      <c r="C115" s="181"/>
    </row>
    <row r="116" spans="1:3" ht="12" customHeight="1" x14ac:dyDescent="0.3">
      <c r="A116" s="371" t="str">
        <f>'KV_1.1.sz.mell.'!A116</f>
        <v>18</v>
      </c>
      <c r="B116" s="331" t="str">
        <f>'KV_1.1.sz.mell.'!B116</f>
        <v xml:space="preserve">   - Egyéb működési célú támogatások államháztartáson kívülre</v>
      </c>
      <c r="C116" s="181"/>
    </row>
    <row r="117" spans="1:3" ht="12" customHeight="1" x14ac:dyDescent="0.3">
      <c r="A117" s="371" t="str">
        <f>'KV_1.1.sz.mell.'!A117</f>
        <v>19</v>
      </c>
      <c r="B117" s="331" t="str">
        <f>'KV_1.1.sz.mell.'!B117</f>
        <v xml:space="preserve">   - Tartalékok</v>
      </c>
      <c r="C117" s="179"/>
    </row>
    <row r="118" spans="1:3" ht="12" customHeight="1" x14ac:dyDescent="0.3">
      <c r="A118" s="371" t="str">
        <f>'KV_1.1.sz.mell.'!A118</f>
        <v>20</v>
      </c>
      <c r="B118" s="331" t="str">
        <f>'KV_1.1.sz.mell.'!B118</f>
        <v xml:space="preserve">         - a 19-ből:             - Általános tartalék</v>
      </c>
      <c r="C118" s="179"/>
    </row>
    <row r="119" spans="1:3" ht="12" customHeight="1" thickBot="1" x14ac:dyDescent="0.35">
      <c r="A119" s="372" t="str">
        <f>'KV_1.1.sz.mell.'!A119</f>
        <v>21</v>
      </c>
      <c r="B119" s="383" t="str">
        <f>'KV_1.1.sz.mell.'!B119</f>
        <v xml:space="preserve">                                       - Céltartalék</v>
      </c>
      <c r="C119" s="185"/>
    </row>
    <row r="120" spans="1:3" ht="12" customHeight="1" thickBot="1" x14ac:dyDescent="0.35">
      <c r="A120" s="376" t="str">
        <f>'KV_1.1.sz.mell.'!A120</f>
        <v>22</v>
      </c>
      <c r="B120" s="244" t="str">
        <f>'KV_1.1.sz.mell.'!B120</f>
        <v xml:space="preserve">   Felhalmozási költségvetés kiadásai (23+25+27)</v>
      </c>
      <c r="C120" s="245">
        <f>+C121+C123+C125</f>
        <v>0</v>
      </c>
    </row>
    <row r="121" spans="1:3" ht="12" customHeight="1" x14ac:dyDescent="0.3">
      <c r="A121" s="371">
        <f>'KV_1.1.sz.mell.'!A121</f>
        <v>23</v>
      </c>
      <c r="B121" s="331" t="str">
        <f>'KV_1.1.sz.mell.'!B121</f>
        <v>Beruházások</v>
      </c>
      <c r="C121" s="180"/>
    </row>
    <row r="122" spans="1:3" ht="12" customHeight="1" x14ac:dyDescent="0.3">
      <c r="A122" s="371" t="str">
        <f>'KV_1.1.sz.mell.'!A122</f>
        <v>24</v>
      </c>
      <c r="B122" s="331" t="str">
        <f>'KV_1.1.sz.mell.'!B122</f>
        <v>23-ból EU-s forrásból megvalósuló beruházás</v>
      </c>
      <c r="C122" s="180"/>
    </row>
    <row r="123" spans="1:3" ht="12" customHeight="1" x14ac:dyDescent="0.3">
      <c r="A123" s="371" t="str">
        <f>'KV_1.1.sz.mell.'!A123</f>
        <v>25</v>
      </c>
      <c r="B123" s="331" t="str">
        <f>'KV_1.1.sz.mell.'!B123</f>
        <v>Felújítások</v>
      </c>
      <c r="C123" s="179"/>
    </row>
    <row r="124" spans="1:3" ht="12" customHeight="1" x14ac:dyDescent="0.3">
      <c r="A124" s="371" t="str">
        <f>'KV_1.1.sz.mell.'!A124</f>
        <v>26</v>
      </c>
      <c r="B124" s="331" t="str">
        <f>'KV_1.1.sz.mell.'!B124</f>
        <v>25-ből EU-s forrásból megvalósuló felújítás</v>
      </c>
      <c r="C124" s="154"/>
    </row>
    <row r="125" spans="1:3" ht="12" customHeight="1" x14ac:dyDescent="0.3">
      <c r="A125" s="371" t="str">
        <f>'KV_1.1.sz.mell.'!A125</f>
        <v>27</v>
      </c>
      <c r="B125" s="331" t="str">
        <f>'KV_1.1.sz.mell.'!B125</f>
        <v>Egyéb felhalmozási célú kiadások</v>
      </c>
      <c r="C125" s="154"/>
    </row>
    <row r="126" spans="1:3" ht="12" customHeight="1" x14ac:dyDescent="0.3">
      <c r="A126" s="371" t="str">
        <f>'KV_1.1.sz.mell.'!A126</f>
        <v>28</v>
      </c>
      <c r="B126" s="331" t="str">
        <f>'KV_1.1.sz.mell.'!B126</f>
        <v>27-ből           - Garancia- és kezességvállalásból kifizetés ÁH-n belülre</v>
      </c>
      <c r="C126" s="154"/>
    </row>
    <row r="127" spans="1:3" ht="12" customHeight="1" x14ac:dyDescent="0.3">
      <c r="A127" s="371" t="str">
        <f>'KV_1.1.sz.mell.'!A127</f>
        <v>29</v>
      </c>
      <c r="B127" s="331" t="str">
        <f>'KV_1.1.sz.mell.'!B127</f>
        <v xml:space="preserve">   - Visszatérítendő támogatások, kölcsönök nyújtása ÁH-n belülre</v>
      </c>
      <c r="C127" s="154"/>
    </row>
    <row r="128" spans="1:3" x14ac:dyDescent="0.3">
      <c r="A128" s="371" t="str">
        <f>'KV_1.1.sz.mell.'!A128</f>
        <v>30</v>
      </c>
      <c r="B128" s="331" t="str">
        <f>'KV_1.1.sz.mell.'!B128</f>
        <v xml:space="preserve">   - Visszatérítendő támogatások, kölcsönök törlesztése ÁH-n belülre</v>
      </c>
      <c r="C128" s="154"/>
    </row>
    <row r="129" spans="1:3" ht="12" customHeight="1" x14ac:dyDescent="0.3">
      <c r="A129" s="371" t="str">
        <f>'KV_1.1.sz.mell.'!A129</f>
        <v>31</v>
      </c>
      <c r="B129" s="331" t="str">
        <f>'KV_1.1.sz.mell.'!B129</f>
        <v xml:space="preserve">   - Egyéb felhalmozási célú támogatások ÁH-n belülre</v>
      </c>
      <c r="C129" s="154"/>
    </row>
    <row r="130" spans="1:3" ht="12" customHeight="1" x14ac:dyDescent="0.3">
      <c r="A130" s="371" t="str">
        <f>'KV_1.1.sz.mell.'!A130</f>
        <v>32</v>
      </c>
      <c r="B130" s="331" t="str">
        <f>'KV_1.1.sz.mell.'!B130</f>
        <v xml:space="preserve">   - Garancia- és kezességvállalásból kifizetés ÁH-n kívülre</v>
      </c>
      <c r="C130" s="154"/>
    </row>
    <row r="131" spans="1:3" ht="12" customHeight="1" x14ac:dyDescent="0.3">
      <c r="A131" s="371" t="str">
        <f>'KV_1.1.sz.mell.'!A131</f>
        <v>33</v>
      </c>
      <c r="B131" s="331" t="str">
        <f>'KV_1.1.sz.mell.'!B131</f>
        <v xml:space="preserve">   - Visszatérítendő támogatások, kölcsönök nyújtása ÁH-n kívülre</v>
      </c>
      <c r="C131" s="154"/>
    </row>
    <row r="132" spans="1:3" ht="12" customHeight="1" x14ac:dyDescent="0.3">
      <c r="A132" s="371" t="str">
        <f>'KV_1.1.sz.mell.'!A132</f>
        <v>34</v>
      </c>
      <c r="B132" s="331" t="str">
        <f>'KV_1.1.sz.mell.'!B132</f>
        <v xml:space="preserve">   - Lakástámogatás</v>
      </c>
      <c r="C132" s="154"/>
    </row>
    <row r="133" spans="1:3" ht="16.2" thickBot="1" x14ac:dyDescent="0.35">
      <c r="A133" s="371">
        <f>'KV_1.1.sz.mell.'!A133</f>
        <v>35</v>
      </c>
      <c r="B133" s="331" t="str">
        <f>'KV_1.1.sz.mell.'!B133</f>
        <v xml:space="preserve">   - Egyéb felhalmozási célú támogatások államháztartáson kívülre</v>
      </c>
      <c r="C133" s="155"/>
    </row>
    <row r="134" spans="1:3" ht="12" customHeight="1" thickBot="1" x14ac:dyDescent="0.35">
      <c r="A134" s="376">
        <f>'KV_1.1.sz.mell.'!A134</f>
        <v>36</v>
      </c>
      <c r="B134" s="81" t="str">
        <f>'KV_1.1.sz.mell.'!B134</f>
        <v>KÖLTSÉGVETÉSI KIADÁSOK ÖSSZESEN (1+22)</v>
      </c>
      <c r="C134" s="177">
        <f>+C99+C120</f>
        <v>0</v>
      </c>
    </row>
    <row r="135" spans="1:3" ht="12" customHeight="1" thickBot="1" x14ac:dyDescent="0.35">
      <c r="A135" s="376">
        <f>'KV_1.1.sz.mell.'!A135</f>
        <v>37</v>
      </c>
      <c r="B135" s="81" t="str">
        <f>'KV_1.1.sz.mell.'!B135</f>
        <v>Hitel-, kölcsöntörlesztés államháztartáson kívülre (38+ … + 40)</v>
      </c>
      <c r="C135" s="177">
        <f>+C136+C137+C138</f>
        <v>0</v>
      </c>
    </row>
    <row r="136" spans="1:3" ht="12" customHeight="1" x14ac:dyDescent="0.3">
      <c r="A136" s="371">
        <f>'KV_1.1.sz.mell.'!A136</f>
        <v>38</v>
      </c>
      <c r="B136" s="333" t="str">
        <f>'KV_1.1.sz.mell.'!B136</f>
        <v>Hosszú lejáratú hitelek, kölcsönök törlesztése pénzügyi vállalkozásnak</v>
      </c>
      <c r="C136" s="154"/>
    </row>
    <row r="137" spans="1:3" ht="12" customHeight="1" x14ac:dyDescent="0.3">
      <c r="A137" s="371" t="str">
        <f>'KV_1.1.sz.mell.'!A137</f>
        <v>39</v>
      </c>
      <c r="B137" s="333" t="str">
        <f>'KV_1.1.sz.mell.'!B137</f>
        <v>Likviditási célú hitelek, kölcsönök törlesztése pénzügyi vállalkozásnak</v>
      </c>
      <c r="C137" s="154"/>
    </row>
    <row r="138" spans="1:3" ht="12" customHeight="1" thickBot="1" x14ac:dyDescent="0.35">
      <c r="A138" s="371" t="str">
        <f>'KV_1.1.sz.mell.'!A138</f>
        <v>40</v>
      </c>
      <c r="B138" s="333" t="str">
        <f>'KV_1.1.sz.mell.'!B138</f>
        <v>Rövid lejáratú hitelek, kölcsönök törlesztése pénzügyi vállalkozásnak</v>
      </c>
      <c r="C138" s="154"/>
    </row>
    <row r="139" spans="1:3" ht="12" customHeight="1" thickBot="1" x14ac:dyDescent="0.35">
      <c r="A139" s="376">
        <f>'KV_1.1.sz.mell.'!A139</f>
        <v>41</v>
      </c>
      <c r="B139" s="81" t="str">
        <f>'KV_1.1.sz.mell.'!B139</f>
        <v>Belföldi értékpapírok kiadásai (42+ … + 47)</v>
      </c>
      <c r="C139" s="177">
        <f>SUM(C140:C145)</f>
        <v>0</v>
      </c>
    </row>
    <row r="140" spans="1:3" ht="12" customHeight="1" x14ac:dyDescent="0.3">
      <c r="A140" s="371">
        <f>'KV_1.1.sz.mell.'!A140</f>
        <v>42</v>
      </c>
      <c r="B140" s="334" t="str">
        <f>'KV_1.1.sz.mell.'!B140</f>
        <v>Forgatási célú belföldi értékpapírok vásárlása</v>
      </c>
      <c r="C140" s="154"/>
    </row>
    <row r="141" spans="1:3" ht="12" customHeight="1" x14ac:dyDescent="0.3">
      <c r="A141" s="371">
        <f>'KV_1.1.sz.mell.'!A141</f>
        <v>43</v>
      </c>
      <c r="B141" s="334" t="str">
        <f>'KV_1.1.sz.mell.'!B141</f>
        <v>Befektetési célú belföldi értékpapírok vásárlása</v>
      </c>
      <c r="C141" s="154"/>
    </row>
    <row r="142" spans="1:3" ht="12" customHeight="1" x14ac:dyDescent="0.3">
      <c r="A142" s="371" t="str">
        <f>'KV_1.1.sz.mell.'!A142</f>
        <v>44</v>
      </c>
      <c r="B142" s="334" t="str">
        <f>'KV_1.1.sz.mell.'!B142</f>
        <v>Kincstárjegyek beváltása</v>
      </c>
      <c r="C142" s="154"/>
    </row>
    <row r="143" spans="1:3" ht="12" customHeight="1" x14ac:dyDescent="0.3">
      <c r="A143" s="371" t="str">
        <f>'KV_1.1.sz.mell.'!A143</f>
        <v>45</v>
      </c>
      <c r="B143" s="334" t="str">
        <f>'KV_1.1.sz.mell.'!B143</f>
        <v>Éven belüli lejáratú belföldi értékpapírok beváltása</v>
      </c>
      <c r="C143" s="154"/>
    </row>
    <row r="144" spans="1:3" ht="12" customHeight="1" x14ac:dyDescent="0.3">
      <c r="A144" s="371" t="str">
        <f>'KV_1.1.sz.mell.'!A144</f>
        <v>46</v>
      </c>
      <c r="B144" s="334" t="str">
        <f>'KV_1.1.sz.mell.'!B144</f>
        <v>Belföldi kötvények beváltása</v>
      </c>
      <c r="C144" s="155"/>
    </row>
    <row r="145" spans="1:9" ht="12" customHeight="1" thickBot="1" x14ac:dyDescent="0.35">
      <c r="A145" s="473">
        <f>'KV_1.1.sz.mell.'!A145</f>
        <v>47</v>
      </c>
      <c r="B145" s="383" t="str">
        <f>'KV_1.1.sz.mell.'!B145</f>
        <v>Éven túli lejáratú belföldi értékpapírok beváltása</v>
      </c>
      <c r="C145" s="247"/>
    </row>
    <row r="146" spans="1:9" ht="12" customHeight="1" thickBot="1" x14ac:dyDescent="0.35">
      <c r="A146" s="376">
        <f>'KV_1.1.sz.mell.'!A146</f>
        <v>48</v>
      </c>
      <c r="B146" s="81" t="str">
        <f>'KV_1.1.sz.mell.'!B146</f>
        <v>Belföldi finanszírozás kiadásai (49+ … + 52)</v>
      </c>
      <c r="C146" s="183">
        <f>+C147+C148+C149+C150</f>
        <v>0</v>
      </c>
    </row>
    <row r="147" spans="1:9" ht="12" customHeight="1" x14ac:dyDescent="0.3">
      <c r="A147" s="371">
        <f>'KV_1.1.sz.mell.'!A147</f>
        <v>49</v>
      </c>
      <c r="B147" s="334" t="str">
        <f>'KV_1.1.sz.mell.'!B147</f>
        <v>Államháztartáson belüli megelőlegezések folyósítása</v>
      </c>
      <c r="C147" s="154"/>
    </row>
    <row r="148" spans="1:9" ht="12" customHeight="1" x14ac:dyDescent="0.3">
      <c r="A148" s="371" t="str">
        <f>'KV_1.1.sz.mell.'!A148</f>
        <v>50</v>
      </c>
      <c r="B148" s="334" t="str">
        <f>'KV_1.1.sz.mell.'!B148</f>
        <v>Államháztartáson belüli megelőlegezések visszafizetése</v>
      </c>
      <c r="C148" s="154"/>
    </row>
    <row r="149" spans="1:9" ht="12" customHeight="1" x14ac:dyDescent="0.3">
      <c r="A149" s="371" t="str">
        <f>'KV_1.1.sz.mell.'!A149</f>
        <v>51</v>
      </c>
      <c r="B149" s="334" t="str">
        <f>'KV_1.1.sz.mell.'!B149</f>
        <v>Pénzeszközök lekötött betétként elhelyezése</v>
      </c>
      <c r="C149" s="155"/>
    </row>
    <row r="150" spans="1:9" ht="12" customHeight="1" thickBot="1" x14ac:dyDescent="0.35">
      <c r="A150" s="372">
        <f>'KV_1.1.sz.mell.'!A150</f>
        <v>52</v>
      </c>
      <c r="B150" s="334" t="str">
        <f>'KV_1.1.sz.mell.'!B150</f>
        <v>Pénzügyi lízing kiadásai</v>
      </c>
      <c r="C150" s="247"/>
    </row>
    <row r="151" spans="1:9" ht="12" customHeight="1" thickBot="1" x14ac:dyDescent="0.35">
      <c r="A151" s="376">
        <f>'KV_1.1.sz.mell.'!A151</f>
        <v>53</v>
      </c>
      <c r="B151" s="81" t="str">
        <f>'KV_1.1.sz.mell.'!B151</f>
        <v>Külföldi finanszírozás kiadásai (54+ … + 58)</v>
      </c>
      <c r="C151" s="186">
        <f>SUM(C152:C156)</f>
        <v>0</v>
      </c>
    </row>
    <row r="152" spans="1:9" ht="12" customHeight="1" x14ac:dyDescent="0.3">
      <c r="A152" s="371">
        <f>'KV_1.1.sz.mell.'!A152</f>
        <v>54</v>
      </c>
      <c r="B152" s="334" t="str">
        <f>'KV_1.1.sz.mell.'!B152</f>
        <v>Forgatási célú külföldi értékpapírok vásárlása</v>
      </c>
      <c r="C152" s="154"/>
    </row>
    <row r="153" spans="1:9" ht="12" customHeight="1" x14ac:dyDescent="0.3">
      <c r="A153" s="371">
        <f>'KV_1.1.sz.mell.'!A153</f>
        <v>55</v>
      </c>
      <c r="B153" s="334" t="str">
        <f>'KV_1.1.sz.mell.'!B153</f>
        <v>Befektetési célú külföldi értékpapírok vásárlása</v>
      </c>
      <c r="C153" s="154"/>
    </row>
    <row r="154" spans="1:9" ht="12" customHeight="1" x14ac:dyDescent="0.3">
      <c r="A154" s="371" t="str">
        <f>'KV_1.1.sz.mell.'!A154</f>
        <v>56</v>
      </c>
      <c r="B154" s="334" t="str">
        <f>'KV_1.1.sz.mell.'!B154</f>
        <v>Külföldi értékpapírok beváltása</v>
      </c>
      <c r="C154" s="154"/>
    </row>
    <row r="155" spans="1:9" ht="12" customHeight="1" x14ac:dyDescent="0.3">
      <c r="A155" s="371" t="str">
        <f>'KV_1.1.sz.mell.'!A155</f>
        <v>57</v>
      </c>
      <c r="B155" s="334" t="str">
        <f>'KV_1.1.sz.mell.'!B155</f>
        <v>Hitelek, kölcsönök törlesztése külföldi kormányoknak nemz. szervezeteknek</v>
      </c>
      <c r="C155" s="154"/>
    </row>
    <row r="156" spans="1:9" ht="12" customHeight="1" thickBot="1" x14ac:dyDescent="0.35">
      <c r="A156" s="371" t="str">
        <f>'KV_1.1.sz.mell.'!A156</f>
        <v>58</v>
      </c>
      <c r="B156" s="334" t="str">
        <f>'KV_1.1.sz.mell.'!B156</f>
        <v>Hitelek, kölcsönök törlesztése külföldi pénzintézeteknek</v>
      </c>
      <c r="C156" s="154"/>
    </row>
    <row r="157" spans="1:9" ht="12" customHeight="1" thickBot="1" x14ac:dyDescent="0.35">
      <c r="A157" s="376">
        <f>'KV_1.1.sz.mell.'!A157</f>
        <v>59</v>
      </c>
      <c r="B157" s="81" t="str">
        <f>'KV_1.1.sz.mell.'!B157</f>
        <v>Adóssághoz nem kapcsolódó származékos ügyletek</v>
      </c>
      <c r="C157" s="246"/>
    </row>
    <row r="158" spans="1:9" ht="12" customHeight="1" thickBot="1" x14ac:dyDescent="0.35">
      <c r="A158" s="376">
        <f>'KV_1.1.sz.mell.'!A158</f>
        <v>60</v>
      </c>
      <c r="B158" s="81" t="str">
        <f>'KV_1.1.sz.mell.'!B158</f>
        <v>Váltókiadások</v>
      </c>
      <c r="C158" s="246"/>
    </row>
    <row r="159" spans="1:9" ht="15.15" customHeight="1" thickBot="1" x14ac:dyDescent="0.35">
      <c r="A159" s="376">
        <f>'KV_1.1.sz.mell.'!A159</f>
        <v>61</v>
      </c>
      <c r="B159" s="81" t="str">
        <f>'KV_1.1.sz.mell.'!B159</f>
        <v>FINANSZÍROZÁSI KIADÁSOK ÖSSZESEN: (37+41+48+53+59+60)</v>
      </c>
      <c r="C159" s="287">
        <f>+C135+C139+C146+C151+C157+C158</f>
        <v>0</v>
      </c>
      <c r="F159" s="17"/>
      <c r="G159" s="76"/>
      <c r="H159" s="76"/>
      <c r="I159" s="76"/>
    </row>
    <row r="160" spans="1:9" s="1" customFormat="1" ht="17.25" customHeight="1" thickBot="1" x14ac:dyDescent="0.3">
      <c r="A160" s="376">
        <f>'KV_1.1.sz.mell.'!A160</f>
        <v>62</v>
      </c>
      <c r="B160" s="81" t="str">
        <f>'KV_1.1.sz.mell.'!B160</f>
        <v>KIADÁSOK ÖSSZESEN: (36.+61)</v>
      </c>
      <c r="C160" s="287">
        <f>+C134+C159</f>
        <v>0</v>
      </c>
    </row>
    <row r="161" spans="1:3" ht="10.5" customHeight="1" x14ac:dyDescent="0.3">
      <c r="A161" s="418"/>
      <c r="B161" s="413"/>
      <c r="C161" s="305">
        <f>C93-C160</f>
        <v>0</v>
      </c>
    </row>
    <row r="162" spans="1:3" x14ac:dyDescent="0.3">
      <c r="A162" s="673" t="str">
        <f>'KV_1.1.sz.mell.'!A162</f>
        <v>KÖLTSÉGVETÉSI, FINANSZÍROZÁSI BEVÉTELEK ÉS KIADÁSOK EGYENLEGE</v>
      </c>
      <c r="B162" s="673"/>
      <c r="C162" s="673"/>
    </row>
    <row r="163" spans="1:3" ht="15.15" customHeight="1" thickBot="1" x14ac:dyDescent="0.35">
      <c r="A163" s="672"/>
      <c r="B163" s="672"/>
      <c r="C163" s="421" t="str">
        <f>'KV_1.1.sz.mell.'!C163</f>
        <v>Forintban!</v>
      </c>
    </row>
    <row r="164" spans="1:3" ht="13.5" customHeight="1" thickBot="1" x14ac:dyDescent="0.35">
      <c r="A164" s="374">
        <f>'KV_1.1.sz.mell.'!A164</f>
        <v>1</v>
      </c>
      <c r="B164" s="8" t="str">
        <f>'KV_1.1.sz.mell.'!B164</f>
        <v>Költségvetési hiány, többlet ( költségvetési bevételek 59. sor - költségvetési kiadások 36. sor) (+/-)</v>
      </c>
      <c r="C164" s="177">
        <f>+C68-C134</f>
        <v>0</v>
      </c>
    </row>
    <row r="165" spans="1:3" ht="27.75" customHeight="1" thickBot="1" x14ac:dyDescent="0.35">
      <c r="A165" s="374">
        <f>'KV_1.1.sz.mell.'!A165</f>
        <v>2</v>
      </c>
      <c r="B165" s="8" t="str">
        <f>'KV_1.1.sz.mell.'!B165</f>
        <v>Finanszírozási bevételek, kiadások egyenlege (finanszírozási bevételek 83. sor - finanszírozási kiadások 61. sor)
 (+/-)</v>
      </c>
      <c r="C165" s="177">
        <f>C92-C159</f>
        <v>0</v>
      </c>
    </row>
  </sheetData>
  <mergeCells count="10">
    <mergeCell ref="A163:B163"/>
    <mergeCell ref="B1:C1"/>
    <mergeCell ref="A6:C6"/>
    <mergeCell ref="A7:B7"/>
    <mergeCell ref="A95:C95"/>
    <mergeCell ref="A96:B96"/>
    <mergeCell ref="A162:C162"/>
    <mergeCell ref="A2:C2"/>
    <mergeCell ref="A3:C3"/>
    <mergeCell ref="A4:C4"/>
  </mergeCells>
  <printOptions horizontalCentered="1"/>
  <pageMargins left="0.6692913385826772" right="0.6692913385826772" top="0.86614173228346458" bottom="0.86614173228346458" header="0" footer="0"/>
  <pageSetup paperSize="9" scale="74" fitToHeight="2" orientation="portrait" r:id="rId1"/>
  <headerFooter alignWithMargins="0"/>
  <rowBreaks count="2" manualBreakCount="2">
    <brk id="68" max="2" man="1"/>
    <brk id="145" max="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0">
    <tabColor rgb="FF92D050"/>
  </sheetPr>
  <dimension ref="A1:F33"/>
  <sheetViews>
    <sheetView zoomScale="120" zoomScaleNormal="120" zoomScaleSheetLayoutView="100" workbookViewId="0">
      <selection activeCell="A2" sqref="A2:E32"/>
    </sheetView>
  </sheetViews>
  <sheetFormatPr defaultColWidth="9.33203125" defaultRowHeight="13.2" x14ac:dyDescent="0.25"/>
  <cols>
    <col min="1" max="1" width="6.77734375" style="18" customWidth="1"/>
    <col min="2" max="2" width="55.109375" style="19" customWidth="1"/>
    <col min="3" max="3" width="16.33203125" style="18" customWidth="1"/>
    <col min="4" max="4" width="55.109375" style="18" customWidth="1"/>
    <col min="5" max="5" width="16.33203125" style="18" customWidth="1"/>
    <col min="6" max="6" width="4.77734375" style="18" customWidth="1"/>
    <col min="7" max="16384" width="9.33203125" style="18"/>
  </cols>
  <sheetData>
    <row r="1" spans="1:6" ht="39.75" customHeight="1" x14ac:dyDescent="0.25">
      <c r="B1" s="195" t="s">
        <v>109</v>
      </c>
      <c r="C1" s="196"/>
      <c r="D1" s="196"/>
      <c r="E1" s="196"/>
      <c r="F1" s="682" t="str">
        <f>CONCATENATE("2. melléklet ",ALAPADATOK!A7," ",ALAPADATOK!B7," ",ALAPADATOK!C7," ",ALAPADATOK!D7," ",ALAPADATOK!E7," ",ALAPADATOK!F7," ",ALAPADATOK!G7," ",ALAPADATOK!H7)</f>
        <v>2. melléklet a … / 2025. ( … ) önkormányzati rendelethez</v>
      </c>
    </row>
    <row r="2" spans="1:6" ht="13.8" thickBot="1" x14ac:dyDescent="0.3">
      <c r="A2" s="684"/>
      <c r="B2" s="685"/>
      <c r="E2" s="290" t="str">
        <f>CONCATENATE('KV_1.1.sz.mell.'!C7)</f>
        <v>Forintban!</v>
      </c>
      <c r="F2" s="682"/>
    </row>
    <row r="3" spans="1:6" ht="18" customHeight="1" thickBot="1" x14ac:dyDescent="0.3">
      <c r="A3" s="680" t="s">
        <v>60</v>
      </c>
      <c r="B3" s="197" t="s">
        <v>50</v>
      </c>
      <c r="C3" s="198"/>
      <c r="D3" s="197" t="s">
        <v>51</v>
      </c>
      <c r="E3" s="199"/>
      <c r="F3" s="682"/>
    </row>
    <row r="4" spans="1:6" s="21" customFormat="1" ht="35.25" customHeight="1" thickBot="1" x14ac:dyDescent="0.3">
      <c r="A4" s="681"/>
      <c r="B4" s="119" t="s">
        <v>52</v>
      </c>
      <c r="C4" s="120" t="str">
        <f>+'KV_1.1.sz.mell.'!C8</f>
        <v>2025. évi előirányzat</v>
      </c>
      <c r="D4" s="119" t="s">
        <v>52</v>
      </c>
      <c r="E4" s="25" t="str">
        <f>+C4</f>
        <v>2025. évi előirányzat</v>
      </c>
      <c r="F4" s="682"/>
    </row>
    <row r="5" spans="1:6" s="204" customFormat="1" ht="12" customHeight="1" thickBot="1" x14ac:dyDescent="0.3">
      <c r="A5" s="200"/>
      <c r="B5" s="201" t="s">
        <v>281</v>
      </c>
      <c r="C5" s="202" t="s">
        <v>282</v>
      </c>
      <c r="D5" s="201" t="s">
        <v>283</v>
      </c>
      <c r="E5" s="203" t="s">
        <v>285</v>
      </c>
      <c r="F5" s="682"/>
    </row>
    <row r="6" spans="1:6" ht="12.9" customHeight="1" x14ac:dyDescent="0.25">
      <c r="A6" s="371">
        <v>1</v>
      </c>
      <c r="B6" s="206" t="s">
        <v>235</v>
      </c>
      <c r="C6" s="188">
        <v>28302912</v>
      </c>
      <c r="D6" s="205" t="s">
        <v>53</v>
      </c>
      <c r="E6" s="192">
        <v>27500000</v>
      </c>
      <c r="F6" s="682"/>
    </row>
    <row r="7" spans="1:6" ht="12.9" customHeight="1" x14ac:dyDescent="0.25">
      <c r="A7" s="388">
        <v>2</v>
      </c>
      <c r="B7" s="206" t="s">
        <v>556</v>
      </c>
      <c r="C7" s="189"/>
      <c r="D7" s="206" t="s">
        <v>123</v>
      </c>
      <c r="E7" s="193">
        <v>2955000</v>
      </c>
      <c r="F7" s="682"/>
    </row>
    <row r="8" spans="1:6" ht="12.9" customHeight="1" x14ac:dyDescent="0.25">
      <c r="A8" s="388" t="s">
        <v>426</v>
      </c>
      <c r="B8" s="206" t="s">
        <v>122</v>
      </c>
      <c r="C8" s="189">
        <v>52800000</v>
      </c>
      <c r="D8" s="206" t="s">
        <v>159</v>
      </c>
      <c r="E8" s="193">
        <v>34514000</v>
      </c>
      <c r="F8" s="682"/>
    </row>
    <row r="9" spans="1:6" ht="12.9" customHeight="1" x14ac:dyDescent="0.25">
      <c r="A9" s="388" t="s">
        <v>427</v>
      </c>
      <c r="B9" s="220" t="s">
        <v>252</v>
      </c>
      <c r="C9" s="189">
        <v>5626000</v>
      </c>
      <c r="D9" s="206" t="s">
        <v>124</v>
      </c>
      <c r="E9" s="193">
        <v>2760000</v>
      </c>
      <c r="F9" s="682"/>
    </row>
    <row r="10" spans="1:6" ht="12.9" customHeight="1" x14ac:dyDescent="0.25">
      <c r="A10" s="388" t="s">
        <v>428</v>
      </c>
      <c r="B10" s="206" t="s">
        <v>236</v>
      </c>
      <c r="C10" s="189"/>
      <c r="D10" s="206" t="s">
        <v>125</v>
      </c>
      <c r="E10" s="193">
        <v>27419582</v>
      </c>
      <c r="F10" s="682"/>
    </row>
    <row r="11" spans="1:6" ht="12.9" customHeight="1" x14ac:dyDescent="0.25">
      <c r="A11" s="388" t="s">
        <v>429</v>
      </c>
      <c r="B11" s="206" t="s">
        <v>557</v>
      </c>
      <c r="C11" s="190"/>
      <c r="D11" s="206"/>
      <c r="E11" s="193"/>
      <c r="F11" s="682"/>
    </row>
    <row r="12" spans="1:6" ht="12.9" customHeight="1" x14ac:dyDescent="0.25">
      <c r="A12" s="388" t="s">
        <v>430</v>
      </c>
      <c r="B12" s="206" t="s">
        <v>195</v>
      </c>
      <c r="C12" s="189"/>
      <c r="D12" s="22"/>
      <c r="E12" s="193"/>
      <c r="F12" s="682"/>
    </row>
    <row r="13" spans="1:6" ht="12.9" customHeight="1" x14ac:dyDescent="0.25">
      <c r="A13" s="388" t="s">
        <v>446</v>
      </c>
      <c r="B13" s="22"/>
      <c r="C13" s="189"/>
      <c r="D13" s="22"/>
      <c r="E13" s="193"/>
      <c r="F13" s="682"/>
    </row>
    <row r="14" spans="1:6" ht="12.9" customHeight="1" x14ac:dyDescent="0.25">
      <c r="A14" s="388" t="s">
        <v>424</v>
      </c>
      <c r="B14" s="224"/>
      <c r="C14" s="190"/>
      <c r="D14" s="22" t="s">
        <v>536</v>
      </c>
      <c r="E14" s="193">
        <v>504494</v>
      </c>
      <c r="F14" s="682"/>
    </row>
    <row r="15" spans="1:6" ht="12.9" customHeight="1" x14ac:dyDescent="0.25">
      <c r="A15" s="388" t="s">
        <v>339</v>
      </c>
      <c r="B15" s="22"/>
      <c r="C15" s="189"/>
      <c r="D15" s="22"/>
      <c r="E15" s="193"/>
      <c r="F15" s="682"/>
    </row>
    <row r="16" spans="1:6" ht="12.9" customHeight="1" x14ac:dyDescent="0.25">
      <c r="A16" s="388" t="s">
        <v>340</v>
      </c>
      <c r="B16" s="22"/>
      <c r="C16" s="189"/>
      <c r="D16" s="22"/>
      <c r="E16" s="193"/>
      <c r="F16" s="682"/>
    </row>
    <row r="17" spans="1:6" ht="12.9" customHeight="1" thickBot="1" x14ac:dyDescent="0.3">
      <c r="A17" s="372" t="s">
        <v>341</v>
      </c>
      <c r="B17" s="29"/>
      <c r="C17" s="191"/>
      <c r="D17" s="29"/>
      <c r="E17" s="194"/>
      <c r="F17" s="682"/>
    </row>
    <row r="18" spans="1:6" ht="15.9" customHeight="1" thickBot="1" x14ac:dyDescent="0.3">
      <c r="A18" s="475" t="s">
        <v>431</v>
      </c>
      <c r="B18" s="476" t="s">
        <v>542</v>
      </c>
      <c r="C18" s="323">
        <f>C6+C8+C9+C10+C12+C13+C14+C15+C16+C17</f>
        <v>86728912</v>
      </c>
      <c r="D18" s="476" t="s">
        <v>546</v>
      </c>
      <c r="E18" s="211">
        <f>SUM(E6:E13)+E15+E16+E17</f>
        <v>95148582</v>
      </c>
      <c r="F18" s="682"/>
    </row>
    <row r="19" spans="1:6" ht="12.9" customHeight="1" x14ac:dyDescent="0.25">
      <c r="A19" s="371" t="s">
        <v>432</v>
      </c>
      <c r="B19" s="220" t="s">
        <v>237</v>
      </c>
      <c r="C19" s="477">
        <f>SUM(C20:C23)</f>
        <v>9214975</v>
      </c>
      <c r="D19" s="205" t="s">
        <v>127</v>
      </c>
      <c r="E19" s="209"/>
      <c r="F19" s="682"/>
    </row>
    <row r="20" spans="1:6" ht="12.9" customHeight="1" x14ac:dyDescent="0.25">
      <c r="A20" s="371" t="s">
        <v>447</v>
      </c>
      <c r="B20" s="478" t="s">
        <v>553</v>
      </c>
      <c r="C20" s="189">
        <v>9214975</v>
      </c>
      <c r="D20" s="205" t="s">
        <v>238</v>
      </c>
      <c r="E20" s="193"/>
      <c r="F20" s="682"/>
    </row>
    <row r="21" spans="1:6" ht="12.9" customHeight="1" x14ac:dyDescent="0.25">
      <c r="A21" s="371" t="s">
        <v>433</v>
      </c>
      <c r="B21" s="478" t="s">
        <v>554</v>
      </c>
      <c r="C21" s="189"/>
      <c r="D21" s="205" t="s">
        <v>107</v>
      </c>
      <c r="E21" s="193"/>
      <c r="F21" s="682"/>
    </row>
    <row r="22" spans="1:6" ht="12.9" customHeight="1" x14ac:dyDescent="0.25">
      <c r="A22" s="371" t="s">
        <v>434</v>
      </c>
      <c r="B22" s="478" t="s">
        <v>555</v>
      </c>
      <c r="C22" s="189"/>
      <c r="D22" s="205" t="s">
        <v>108</v>
      </c>
      <c r="E22" s="193"/>
      <c r="F22" s="682"/>
    </row>
    <row r="23" spans="1:6" ht="12.9" customHeight="1" x14ac:dyDescent="0.25">
      <c r="A23" s="371" t="s">
        <v>435</v>
      </c>
      <c r="B23" s="478" t="s">
        <v>164</v>
      </c>
      <c r="C23" s="189"/>
      <c r="D23" s="220" t="s">
        <v>160</v>
      </c>
      <c r="E23" s="193"/>
      <c r="F23" s="682"/>
    </row>
    <row r="24" spans="1:6" ht="12.9" customHeight="1" x14ac:dyDescent="0.25">
      <c r="A24" s="371" t="s">
        <v>436</v>
      </c>
      <c r="B24" s="206" t="s">
        <v>543</v>
      </c>
      <c r="C24" s="479">
        <f>+C25+C26</f>
        <v>0</v>
      </c>
      <c r="D24" s="206" t="s">
        <v>128</v>
      </c>
      <c r="E24" s="193"/>
      <c r="F24" s="682"/>
    </row>
    <row r="25" spans="1:6" ht="12.9" customHeight="1" x14ac:dyDescent="0.25">
      <c r="A25" s="371" t="s">
        <v>437</v>
      </c>
      <c r="B25" s="480" t="s">
        <v>168</v>
      </c>
      <c r="C25" s="321"/>
      <c r="D25" s="205" t="s">
        <v>275</v>
      </c>
      <c r="E25" s="209"/>
      <c r="F25" s="682"/>
    </row>
    <row r="26" spans="1:6" ht="12.9" customHeight="1" x14ac:dyDescent="0.25">
      <c r="A26" s="371" t="s">
        <v>438</v>
      </c>
      <c r="B26" s="478" t="s">
        <v>211</v>
      </c>
      <c r="C26" s="189"/>
      <c r="D26" s="205" t="s">
        <v>212</v>
      </c>
      <c r="E26" s="193">
        <v>795305</v>
      </c>
      <c r="F26" s="682"/>
    </row>
    <row r="27" spans="1:6" ht="12.9" customHeight="1" x14ac:dyDescent="0.25">
      <c r="A27" s="371" t="s">
        <v>448</v>
      </c>
      <c r="B27" s="478" t="s">
        <v>280</v>
      </c>
      <c r="C27" s="189"/>
      <c r="D27" s="205" t="s">
        <v>278</v>
      </c>
      <c r="E27" s="193"/>
      <c r="F27" s="682"/>
    </row>
    <row r="28" spans="1:6" ht="12.9" customHeight="1" thickBot="1" x14ac:dyDescent="0.3">
      <c r="A28" s="372" t="s">
        <v>439</v>
      </c>
      <c r="B28" s="480" t="s">
        <v>217</v>
      </c>
      <c r="C28" s="321"/>
      <c r="D28" s="474" t="s">
        <v>279</v>
      </c>
      <c r="E28" s="209"/>
      <c r="F28" s="682"/>
    </row>
    <row r="29" spans="1:6" ht="15.9" customHeight="1" thickBot="1" x14ac:dyDescent="0.3">
      <c r="A29" s="475" t="s">
        <v>440</v>
      </c>
      <c r="B29" s="476" t="s">
        <v>544</v>
      </c>
      <c r="C29" s="323">
        <f>+C19+C24+C27+C28</f>
        <v>9214975</v>
      </c>
      <c r="D29" s="476" t="s">
        <v>547</v>
      </c>
      <c r="E29" s="211">
        <f>SUM(E19:E28)</f>
        <v>795305</v>
      </c>
      <c r="F29" s="682"/>
    </row>
    <row r="30" spans="1:6" ht="13.8" thickBot="1" x14ac:dyDescent="0.3">
      <c r="A30" s="475" t="s">
        <v>441</v>
      </c>
      <c r="B30" s="476" t="s">
        <v>545</v>
      </c>
      <c r="C30" s="210">
        <f>+C18+C29</f>
        <v>95943887</v>
      </c>
      <c r="D30" s="476" t="s">
        <v>548</v>
      </c>
      <c r="E30" s="210">
        <f>+E18+E29</f>
        <v>95943887</v>
      </c>
      <c r="F30" s="682"/>
    </row>
    <row r="31" spans="1:6" ht="13.8" thickBot="1" x14ac:dyDescent="0.3">
      <c r="A31" s="475" t="s">
        <v>442</v>
      </c>
      <c r="B31" s="476" t="s">
        <v>120</v>
      </c>
      <c r="C31" s="210">
        <f>IF(C18-E18&lt;0,E18-C18,"-")</f>
        <v>8419670</v>
      </c>
      <c r="D31" s="476" t="s">
        <v>121</v>
      </c>
      <c r="E31" s="210" t="str">
        <f>IF(C18-E18&gt;0,C18-E18,"-")</f>
        <v>-</v>
      </c>
      <c r="F31" s="682"/>
    </row>
    <row r="32" spans="1:6" ht="13.8" thickBot="1" x14ac:dyDescent="0.3">
      <c r="A32" s="475" t="s">
        <v>443</v>
      </c>
      <c r="B32" s="476" t="s">
        <v>305</v>
      </c>
      <c r="C32" s="210" t="str">
        <f>IF(C30-E30&lt;0,E30-C30,"-")</f>
        <v>-</v>
      </c>
      <c r="D32" s="476" t="s">
        <v>306</v>
      </c>
      <c r="E32" s="210" t="str">
        <f>IF(C30-E30&gt;0,C30-E30,"-")</f>
        <v>-</v>
      </c>
      <c r="F32" s="682"/>
    </row>
    <row r="33" spans="1:5" ht="15.6" x14ac:dyDescent="0.25">
      <c r="A33" s="683" t="str">
        <f>IF(C32&lt;&gt;"-","Nem lehet bruttó hiány, mert az Mötv. 111. § (4) bekezédse szerint A költségvetési rendeletben működési hiány nem tervezhető.","")</f>
        <v/>
      </c>
      <c r="B33" s="683"/>
      <c r="C33" s="683"/>
      <c r="D33" s="683"/>
      <c r="E33" s="683"/>
    </row>
  </sheetData>
  <mergeCells count="4">
    <mergeCell ref="A3:A4"/>
    <mergeCell ref="F1:F32"/>
    <mergeCell ref="A33:E33"/>
    <mergeCell ref="A2:B2"/>
  </mergeCells>
  <phoneticPr fontId="0" type="noConversion"/>
  <conditionalFormatting sqref="C32">
    <cfRule type="cellIs" dxfId="2" priority="1" stopIfTrue="1" operator="notEqual">
      <formula>"-"</formula>
    </cfRule>
  </conditionalFormatting>
  <printOptions horizontalCentered="1"/>
  <pageMargins left="0.33" right="0.48" top="0.9055118110236221" bottom="0.5" header="0.6692913385826772" footer="0.28000000000000003"/>
  <pageSetup paperSize="9" orientation="landscape" verticalDpi="300" r:id="rId1"/>
  <headerFooter alignWithMargins="0">
    <oddHeader xml:space="preserve">&amp;R&amp;"Times New Roman CE,Félkövér dőlt"&amp;11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1">
    <tabColor rgb="FF92D050"/>
  </sheetPr>
  <dimension ref="A1:F33"/>
  <sheetViews>
    <sheetView topLeftCell="A10" zoomScale="120" zoomScaleNormal="120" zoomScaleSheetLayoutView="115" workbookViewId="0">
      <selection activeCell="A2" sqref="A2:E33"/>
    </sheetView>
  </sheetViews>
  <sheetFormatPr defaultColWidth="9.33203125" defaultRowHeight="13.2" x14ac:dyDescent="0.25"/>
  <cols>
    <col min="1" max="1" width="6.77734375" style="18" customWidth="1"/>
    <col min="2" max="2" width="55.109375" style="19" customWidth="1"/>
    <col min="3" max="3" width="16.33203125" style="18" customWidth="1"/>
    <col min="4" max="4" width="55.109375" style="18" customWidth="1"/>
    <col min="5" max="5" width="16.33203125" style="18" customWidth="1"/>
    <col min="6" max="6" width="4.77734375" style="18" hidden="1" customWidth="1"/>
    <col min="7" max="16384" width="9.33203125" style="18"/>
  </cols>
  <sheetData>
    <row r="1" spans="1:6" ht="31.2" x14ac:dyDescent="0.25">
      <c r="B1" s="195" t="s">
        <v>110</v>
      </c>
      <c r="C1" s="196"/>
      <c r="D1" s="196"/>
      <c r="E1" s="196"/>
      <c r="F1" s="682" t="str">
        <f>CONCATENATE("2.2. melléklet ",ALAPADATOK!A7," ",ALAPADATOK!B7," ",ALAPADATOK!C7," ",ALAPADATOK!D7," ",ALAPADATOK!E7," ",ALAPADATOK!F7," ",ALAPADATOK!G7," ",ALAPADATOK!H7)</f>
        <v>2.2. melléklet a … / 2025. ( … ) önkormányzati rendelethez</v>
      </c>
    </row>
    <row r="2" spans="1:6" ht="13.8" thickBot="1" x14ac:dyDescent="0.3">
      <c r="A2" s="684"/>
      <c r="B2" s="688"/>
      <c r="E2" s="289" t="str">
        <f>CONCATENATE('KV_1.1.sz.mell.'!C7)</f>
        <v>Forintban!</v>
      </c>
      <c r="F2" s="682"/>
    </row>
    <row r="3" spans="1:6" ht="13.8" thickBot="1" x14ac:dyDescent="0.3">
      <c r="A3" s="686" t="s">
        <v>60</v>
      </c>
      <c r="B3" s="197" t="s">
        <v>50</v>
      </c>
      <c r="C3" s="198"/>
      <c r="D3" s="197" t="s">
        <v>51</v>
      </c>
      <c r="E3" s="199"/>
      <c r="F3" s="682"/>
    </row>
    <row r="4" spans="1:6" s="21" customFormat="1" ht="13.8" thickBot="1" x14ac:dyDescent="0.3">
      <c r="A4" s="687"/>
      <c r="B4" s="119" t="s">
        <v>52</v>
      </c>
      <c r="C4" s="120" t="str">
        <f>+'KV_2.1.sz.mell.'!C4</f>
        <v>2025. évi előirányzat</v>
      </c>
      <c r="D4" s="119" t="s">
        <v>52</v>
      </c>
      <c r="E4" s="25" t="str">
        <f>+'KV_2.1.sz.mell.'!C4</f>
        <v>2025. évi előirányzat</v>
      </c>
      <c r="F4" s="682"/>
    </row>
    <row r="5" spans="1:6" s="21" customFormat="1" ht="13.8" thickBot="1" x14ac:dyDescent="0.3">
      <c r="A5" s="200"/>
      <c r="B5" s="201" t="s">
        <v>281</v>
      </c>
      <c r="C5" s="202" t="s">
        <v>282</v>
      </c>
      <c r="D5" s="201" t="s">
        <v>283</v>
      </c>
      <c r="E5" s="203" t="s">
        <v>285</v>
      </c>
      <c r="F5" s="682"/>
    </row>
    <row r="6" spans="1:6" ht="12.9" customHeight="1" x14ac:dyDescent="0.25">
      <c r="A6" s="371" t="s">
        <v>526</v>
      </c>
      <c r="B6" s="205" t="s">
        <v>239</v>
      </c>
      <c r="C6" s="188">
        <v>104901720</v>
      </c>
      <c r="D6" s="205" t="s">
        <v>157</v>
      </c>
      <c r="E6" s="192">
        <v>124715931</v>
      </c>
      <c r="F6" s="682"/>
    </row>
    <row r="7" spans="1:6" x14ac:dyDescent="0.25">
      <c r="A7" s="371" t="s">
        <v>425</v>
      </c>
      <c r="B7" s="206" t="s">
        <v>240</v>
      </c>
      <c r="C7" s="189">
        <v>104901720</v>
      </c>
      <c r="D7" s="206" t="s">
        <v>244</v>
      </c>
      <c r="E7" s="193">
        <v>123204931</v>
      </c>
      <c r="F7" s="682"/>
    </row>
    <row r="8" spans="1:6" ht="12.9" customHeight="1" x14ac:dyDescent="0.25">
      <c r="A8" s="371" t="s">
        <v>426</v>
      </c>
      <c r="B8" s="206" t="s">
        <v>9</v>
      </c>
      <c r="C8" s="189"/>
      <c r="D8" s="206" t="s">
        <v>126</v>
      </c>
      <c r="E8" s="193"/>
      <c r="F8" s="682"/>
    </row>
    <row r="9" spans="1:6" ht="12.9" customHeight="1" x14ac:dyDescent="0.25">
      <c r="A9" s="371" t="s">
        <v>427</v>
      </c>
      <c r="B9" s="206" t="s">
        <v>241</v>
      </c>
      <c r="C9" s="189"/>
      <c r="D9" s="206" t="s">
        <v>245</v>
      </c>
      <c r="E9" s="193"/>
      <c r="F9" s="682"/>
    </row>
    <row r="10" spans="1:6" ht="12.75" customHeight="1" x14ac:dyDescent="0.25">
      <c r="A10" s="371" t="s">
        <v>428</v>
      </c>
      <c r="B10" s="206" t="s">
        <v>242</v>
      </c>
      <c r="C10" s="189"/>
      <c r="D10" s="206" t="s">
        <v>158</v>
      </c>
      <c r="E10" s="193"/>
      <c r="F10" s="682"/>
    </row>
    <row r="11" spans="1:6" ht="12.9" customHeight="1" x14ac:dyDescent="0.25">
      <c r="A11" s="371" t="s">
        <v>429</v>
      </c>
      <c r="B11" s="206" t="s">
        <v>243</v>
      </c>
      <c r="C11" s="190"/>
      <c r="D11" s="225"/>
      <c r="E11" s="193"/>
      <c r="F11" s="682"/>
    </row>
    <row r="12" spans="1:6" ht="12.9" customHeight="1" x14ac:dyDescent="0.25">
      <c r="A12" s="371" t="s">
        <v>430</v>
      </c>
      <c r="B12" s="22"/>
      <c r="C12" s="189"/>
      <c r="D12" s="225"/>
      <c r="E12" s="193"/>
      <c r="F12" s="682"/>
    </row>
    <row r="13" spans="1:6" ht="12.9" customHeight="1" x14ac:dyDescent="0.25">
      <c r="A13" s="371" t="s">
        <v>446</v>
      </c>
      <c r="B13" s="22"/>
      <c r="C13" s="189"/>
      <c r="D13" s="225"/>
      <c r="E13" s="193"/>
      <c r="F13" s="682"/>
    </row>
    <row r="14" spans="1:6" ht="12.9" customHeight="1" x14ac:dyDescent="0.25">
      <c r="A14" s="371" t="s">
        <v>424</v>
      </c>
      <c r="B14" s="223"/>
      <c r="C14" s="190"/>
      <c r="D14" s="225"/>
      <c r="E14" s="193"/>
      <c r="F14" s="682"/>
    </row>
    <row r="15" spans="1:6" x14ac:dyDescent="0.25">
      <c r="A15" s="371" t="s">
        <v>339</v>
      </c>
      <c r="B15" s="22"/>
      <c r="C15" s="190"/>
      <c r="D15" s="225"/>
      <c r="E15" s="193"/>
      <c r="F15" s="682"/>
    </row>
    <row r="16" spans="1:6" ht="12.9" customHeight="1" thickBot="1" x14ac:dyDescent="0.3">
      <c r="A16" s="372" t="s">
        <v>340</v>
      </c>
      <c r="B16" s="224"/>
      <c r="C16" s="221"/>
      <c r="D16" s="220"/>
      <c r="E16" s="209"/>
      <c r="F16" s="682"/>
    </row>
    <row r="17" spans="1:6" ht="15.9" customHeight="1" thickBot="1" x14ac:dyDescent="0.3">
      <c r="A17" s="481" t="s">
        <v>341</v>
      </c>
      <c r="B17" s="476" t="s">
        <v>549</v>
      </c>
      <c r="C17" s="323">
        <f>+C6+C8+C9+C11+C12+C13+C14+C15+C16</f>
        <v>104901720</v>
      </c>
      <c r="D17" s="476" t="s">
        <v>551</v>
      </c>
      <c r="E17" s="211">
        <f>+E6+E8+E10+E11+E12+E13+E14+E15+E16</f>
        <v>124715931</v>
      </c>
      <c r="F17" s="682"/>
    </row>
    <row r="18" spans="1:6" ht="12.9" customHeight="1" x14ac:dyDescent="0.25">
      <c r="A18" s="388" t="s">
        <v>431</v>
      </c>
      <c r="B18" s="482" t="s">
        <v>171</v>
      </c>
      <c r="C18" s="483">
        <f>SUM(C19:C23)</f>
        <v>19814211</v>
      </c>
      <c r="D18" s="205" t="s">
        <v>127</v>
      </c>
      <c r="E18" s="192"/>
      <c r="F18" s="682"/>
    </row>
    <row r="19" spans="1:6" ht="12.9" customHeight="1" x14ac:dyDescent="0.25">
      <c r="A19" s="388" t="s">
        <v>432</v>
      </c>
      <c r="B19" s="484" t="s">
        <v>161</v>
      </c>
      <c r="C19" s="189">
        <v>19814211</v>
      </c>
      <c r="D19" s="206" t="s">
        <v>130</v>
      </c>
      <c r="E19" s="193"/>
      <c r="F19" s="682"/>
    </row>
    <row r="20" spans="1:6" ht="12.9" customHeight="1" x14ac:dyDescent="0.25">
      <c r="A20" s="388" t="s">
        <v>447</v>
      </c>
      <c r="B20" s="484" t="s">
        <v>162</v>
      </c>
      <c r="C20" s="189"/>
      <c r="D20" s="206" t="s">
        <v>107</v>
      </c>
      <c r="E20" s="193"/>
      <c r="F20" s="682"/>
    </row>
    <row r="21" spans="1:6" ht="12.9" customHeight="1" x14ac:dyDescent="0.25">
      <c r="A21" s="388" t="s">
        <v>433</v>
      </c>
      <c r="B21" s="484" t="s">
        <v>163</v>
      </c>
      <c r="C21" s="189"/>
      <c r="D21" s="206" t="s">
        <v>108</v>
      </c>
      <c r="E21" s="193"/>
      <c r="F21" s="682"/>
    </row>
    <row r="22" spans="1:6" ht="12.9" customHeight="1" x14ac:dyDescent="0.25">
      <c r="A22" s="388" t="s">
        <v>434</v>
      </c>
      <c r="B22" s="484" t="s">
        <v>164</v>
      </c>
      <c r="C22" s="189"/>
      <c r="D22" s="220" t="s">
        <v>160</v>
      </c>
      <c r="E22" s="193"/>
      <c r="F22" s="682"/>
    </row>
    <row r="23" spans="1:6" ht="12.9" customHeight="1" x14ac:dyDescent="0.25">
      <c r="A23" s="388" t="s">
        <v>435</v>
      </c>
      <c r="B23" s="484" t="s">
        <v>165</v>
      </c>
      <c r="C23" s="189"/>
      <c r="D23" s="206" t="s">
        <v>131</v>
      </c>
      <c r="E23" s="193"/>
      <c r="F23" s="682"/>
    </row>
    <row r="24" spans="1:6" ht="12.9" customHeight="1" x14ac:dyDescent="0.25">
      <c r="A24" s="388" t="s">
        <v>436</v>
      </c>
      <c r="B24" s="485" t="s">
        <v>166</v>
      </c>
      <c r="C24" s="479">
        <f>+C25+C26+C27+C28+C29</f>
        <v>0</v>
      </c>
      <c r="D24" s="205" t="s">
        <v>129</v>
      </c>
      <c r="E24" s="193"/>
      <c r="F24" s="682"/>
    </row>
    <row r="25" spans="1:6" ht="12.9" customHeight="1" x14ac:dyDescent="0.25">
      <c r="A25" s="388" t="s">
        <v>437</v>
      </c>
      <c r="B25" s="484" t="s">
        <v>167</v>
      </c>
      <c r="C25" s="189"/>
      <c r="D25" s="205" t="s">
        <v>246</v>
      </c>
      <c r="E25" s="193"/>
      <c r="F25" s="682"/>
    </row>
    <row r="26" spans="1:6" ht="12.9" customHeight="1" x14ac:dyDescent="0.25">
      <c r="A26" s="388" t="s">
        <v>438</v>
      </c>
      <c r="B26" s="484" t="s">
        <v>168</v>
      </c>
      <c r="C26" s="189"/>
      <c r="D26" s="74" t="s">
        <v>212</v>
      </c>
      <c r="E26" s="193"/>
      <c r="F26" s="682"/>
    </row>
    <row r="27" spans="1:6" ht="12.9" customHeight="1" x14ac:dyDescent="0.25">
      <c r="A27" s="388" t="s">
        <v>448</v>
      </c>
      <c r="B27" s="484" t="s">
        <v>169</v>
      </c>
      <c r="C27" s="189"/>
      <c r="D27" s="74"/>
      <c r="E27" s="193"/>
      <c r="F27" s="682"/>
    </row>
    <row r="28" spans="1:6" ht="12.9" customHeight="1" x14ac:dyDescent="0.25">
      <c r="A28" s="388" t="s">
        <v>439</v>
      </c>
      <c r="B28" s="207" t="s">
        <v>170</v>
      </c>
      <c r="C28" s="189"/>
      <c r="D28" s="22"/>
      <c r="E28" s="193"/>
      <c r="F28" s="682"/>
    </row>
    <row r="29" spans="1:6" ht="12.9" customHeight="1" thickBot="1" x14ac:dyDescent="0.3">
      <c r="A29" s="389" t="s">
        <v>440</v>
      </c>
      <c r="B29" s="208" t="s">
        <v>211</v>
      </c>
      <c r="C29" s="191"/>
      <c r="D29" s="224"/>
      <c r="E29" s="194"/>
      <c r="F29" s="682"/>
    </row>
    <row r="30" spans="1:6" ht="21.75" customHeight="1" thickBot="1" x14ac:dyDescent="0.3">
      <c r="A30" s="481" t="s">
        <v>441</v>
      </c>
      <c r="B30" s="476" t="s">
        <v>550</v>
      </c>
      <c r="C30" s="323">
        <f>+C18+C24</f>
        <v>19814211</v>
      </c>
      <c r="D30" s="476" t="s">
        <v>552</v>
      </c>
      <c r="E30" s="211">
        <f>SUM(E18:E29)</f>
        <v>0</v>
      </c>
      <c r="F30" s="682"/>
    </row>
    <row r="31" spans="1:6" ht="13.8" thickBot="1" x14ac:dyDescent="0.3">
      <c r="A31" s="481" t="s">
        <v>442</v>
      </c>
      <c r="B31" s="476" t="s">
        <v>247</v>
      </c>
      <c r="C31" s="210">
        <f>+C17+C30</f>
        <v>124715931</v>
      </c>
      <c r="D31" s="476" t="s">
        <v>248</v>
      </c>
      <c r="E31" s="210">
        <f>+E17+E30</f>
        <v>124715931</v>
      </c>
      <c r="F31" s="682"/>
    </row>
    <row r="32" spans="1:6" ht="13.8" thickBot="1" x14ac:dyDescent="0.3">
      <c r="A32" s="481" t="s">
        <v>443</v>
      </c>
      <c r="B32" s="476" t="s">
        <v>120</v>
      </c>
      <c r="C32" s="210">
        <f>IF(C17-E17&lt;0,E17-C17,"-")</f>
        <v>19814211</v>
      </c>
      <c r="D32" s="476" t="s">
        <v>121</v>
      </c>
      <c r="E32" s="210" t="str">
        <f>IF(C17-E17&gt;0,C17-E17,"-")</f>
        <v>-</v>
      </c>
      <c r="F32" s="682"/>
    </row>
    <row r="33" spans="1:6" ht="13.8" thickBot="1" x14ac:dyDescent="0.3">
      <c r="A33" s="475" t="s">
        <v>444</v>
      </c>
      <c r="B33" s="476" t="s">
        <v>305</v>
      </c>
      <c r="C33" s="210" t="str">
        <f>IF(C31-E31&lt;0,E31-C31,"-")</f>
        <v>-</v>
      </c>
      <c r="D33" s="476" t="s">
        <v>306</v>
      </c>
      <c r="E33" s="210" t="str">
        <f>IF(C31-E31&gt;0,C31-E31,"-")</f>
        <v>-</v>
      </c>
      <c r="F33" s="682"/>
    </row>
  </sheetData>
  <mergeCells count="3">
    <mergeCell ref="A3:A4"/>
    <mergeCell ref="F1:F33"/>
    <mergeCell ref="A2:B2"/>
  </mergeCells>
  <phoneticPr fontId="0" type="noConversion"/>
  <printOptions horizontalCentered="1"/>
  <pageMargins left="0.78740157480314965" right="0.78740157480314965" top="0.49" bottom="0.79" header="0.49" footer="0.78740157480314965"/>
  <pageSetup paperSize="9" scale="93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27</vt:i4>
      </vt:variant>
      <vt:variant>
        <vt:lpstr>Névvel ellátott tartományok</vt:lpstr>
      </vt:variant>
      <vt:variant>
        <vt:i4>6</vt:i4>
      </vt:variant>
    </vt:vector>
  </HeadingPairs>
  <TitlesOfParts>
    <vt:vector size="33" baseType="lpstr">
      <vt:lpstr>TARTALOMJEGYZÉK</vt:lpstr>
      <vt:lpstr>ALAPADATOK</vt:lpstr>
      <vt:lpstr>KV_ÖSSZEFÜGGÉSEK</vt:lpstr>
      <vt:lpstr>KV_1.1.sz.mell.</vt:lpstr>
      <vt:lpstr>KV_1.2.sz.mell.</vt:lpstr>
      <vt:lpstr>KV_1.3.sz.mell.</vt:lpstr>
      <vt:lpstr>KV_1.4.sz.mell.</vt:lpstr>
      <vt:lpstr>KV_2.1.sz.mell.</vt:lpstr>
      <vt:lpstr>KV_2.2.sz.mell.</vt:lpstr>
      <vt:lpstr>KV_ELLENŐRZÉS</vt:lpstr>
      <vt:lpstr>KV_3.sz.mell.</vt:lpstr>
      <vt:lpstr>KV_4.sz.mell.</vt:lpstr>
      <vt:lpstr>KV_5.sz.mell.</vt:lpstr>
      <vt:lpstr>KV_6.sz.mell.</vt:lpstr>
      <vt:lpstr>KV_7.sz.mell.</vt:lpstr>
      <vt:lpstr>KV_8.sz.mell.</vt:lpstr>
      <vt:lpstr>KV_9.sz.mell</vt:lpstr>
      <vt:lpstr>KV_10.sz.mell</vt:lpstr>
      <vt:lpstr>KV_11.sz.mell</vt:lpstr>
      <vt:lpstr>KV_12.sz.mell</vt:lpstr>
      <vt:lpstr>KV_13.sz.mell</vt:lpstr>
      <vt:lpstr>KV_14.sz.mell</vt:lpstr>
      <vt:lpstr>KV_15.sz.mell</vt:lpstr>
      <vt:lpstr>KV_16.sz.mell</vt:lpstr>
      <vt:lpstr>KV_17.sz.mell</vt:lpstr>
      <vt:lpstr>KV_18.sz.mell</vt:lpstr>
      <vt:lpstr>KV_19.sz.mell</vt:lpstr>
      <vt:lpstr>KV_1.1.sz.mell.!Nyomtatási_terület</vt:lpstr>
      <vt:lpstr>KV_1.2.sz.mell.!Nyomtatási_terület</vt:lpstr>
      <vt:lpstr>KV_1.3.sz.mell.!Nyomtatási_terület</vt:lpstr>
      <vt:lpstr>KV_1.4.sz.mell.!Nyomtatási_terület</vt:lpstr>
      <vt:lpstr>KV_12.sz.mell!Nyomtatási_terület</vt:lpstr>
      <vt:lpstr>KV_16.sz.mell!Nyomtatási_terület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Aljegyző</cp:lastModifiedBy>
  <cp:lastPrinted>2025-03-04T14:14:16Z</cp:lastPrinted>
  <dcterms:created xsi:type="dcterms:W3CDTF">1999-10-30T10:30:45Z</dcterms:created>
  <dcterms:modified xsi:type="dcterms:W3CDTF">2025-03-17T19:06:54Z</dcterms:modified>
</cp:coreProperties>
</file>